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rive partagés\My-SBM Discover\Activités et outils\10. Finances\Evaluation preliminaire de la viabilite financiere\Instruments\"/>
    </mc:Choice>
  </mc:AlternateContent>
  <xr:revisionPtr revIDLastSave="0" documentId="13_ncr:1_{DE0C4889-8099-40DF-B8B9-699C184CF723}" xr6:coauthVersionLast="47" xr6:coauthVersionMax="47" xr10:uidLastSave="{00000000-0000-0000-0000-000000000000}"/>
  <bookViews>
    <workbookView xWindow="2660" yWindow="2660" windowWidth="20610" windowHeight="15690" xr2:uid="{00000000-000D-0000-FFFF-FFFF00000000}"/>
  </bookViews>
  <sheets>
    <sheet name="Produits et services" sheetId="1" r:id="rId1"/>
    <sheet name="Finances" sheetId="2" r:id="rId2"/>
    <sheet name="Timing" sheetId="3" r:id="rId3"/>
    <sheet name="Tables" sheetId="4" r:id="rId4"/>
    <sheet name="Budget personnel" sheetId="5" r:id="rId5"/>
  </sheets>
  <definedNames>
    <definedName name="OuiNon">Tables!$A$15:$A$16</definedName>
    <definedName name="tva">Tables!$A$2:$B$5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52" i="1"/>
  <c r="G53" i="1"/>
  <c r="G54" i="1"/>
  <c r="G55" i="1"/>
  <c r="G56" i="1"/>
  <c r="G57" i="1"/>
  <c r="G58" i="1"/>
  <c r="G49" i="1"/>
  <c r="H50" i="1"/>
  <c r="H51" i="1"/>
  <c r="G51" i="1" s="1"/>
  <c r="H52" i="1"/>
  <c r="H53" i="1"/>
  <c r="H54" i="1"/>
  <c r="H55" i="1"/>
  <c r="H56" i="1"/>
  <c r="H57" i="1"/>
  <c r="H58" i="1"/>
  <c r="H49" i="1"/>
  <c r="E30" i="5"/>
  <c r="D30" i="5"/>
  <c r="D31" i="5"/>
  <c r="E31" i="5"/>
  <c r="C31" i="5"/>
  <c r="D67" i="2"/>
  <c r="D68" i="2"/>
  <c r="D76" i="2" s="1"/>
  <c r="D78" i="2" s="1"/>
  <c r="D69" i="2"/>
  <c r="D70" i="2"/>
  <c r="D71" i="2"/>
  <c r="D72" i="2"/>
  <c r="D73" i="2"/>
  <c r="D74" i="2"/>
  <c r="D75" i="2"/>
  <c r="D66" i="2"/>
  <c r="C32" i="5"/>
  <c r="E32" i="5" s="1"/>
  <c r="D20" i="5"/>
  <c r="D21" i="5"/>
  <c r="D22" i="5"/>
  <c r="D23" i="5"/>
  <c r="D24" i="5"/>
  <c r="D25" i="5"/>
  <c r="D26" i="5"/>
  <c r="D27" i="5"/>
  <c r="D28" i="5"/>
  <c r="D19" i="5"/>
  <c r="D13" i="5"/>
  <c r="D14" i="5"/>
  <c r="D15" i="5"/>
  <c r="D16" i="5"/>
  <c r="D17" i="5"/>
  <c r="D12" i="5"/>
  <c r="D4" i="5"/>
  <c r="D5" i="5"/>
  <c r="D6" i="5"/>
  <c r="D7" i="5"/>
  <c r="D8" i="5"/>
  <c r="D9" i="5"/>
  <c r="D10" i="5"/>
  <c r="D3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0" i="5"/>
  <c r="E9" i="5"/>
  <c r="E8" i="5"/>
  <c r="E7" i="5"/>
  <c r="E6" i="5"/>
  <c r="E5" i="5"/>
  <c r="E4" i="5"/>
  <c r="E3" i="5"/>
  <c r="C33" i="5" l="1"/>
  <c r="D32" i="5"/>
  <c r="E33" i="5"/>
  <c r="D33" i="5" l="1"/>
  <c r="D24" i="2"/>
  <c r="C24" i="2" s="1"/>
  <c r="D25" i="2"/>
  <c r="D26" i="2"/>
  <c r="D27" i="2"/>
  <c r="D23" i="2"/>
  <c r="A24" i="2"/>
  <c r="A25" i="2"/>
  <c r="A26" i="2"/>
  <c r="A27" i="2"/>
  <c r="A23" i="2"/>
  <c r="C27" i="2"/>
  <c r="B27" i="2"/>
  <c r="C26" i="2"/>
  <c r="B26" i="2"/>
  <c r="C25" i="2"/>
  <c r="B25" i="2"/>
  <c r="C23" i="2"/>
  <c r="B23" i="2"/>
  <c r="H67" i="1"/>
  <c r="H66" i="1"/>
  <c r="H65" i="1"/>
  <c r="H64" i="1"/>
  <c r="H63" i="1"/>
  <c r="C28" i="2" l="1"/>
  <c r="D28" i="2"/>
  <c r="B24" i="2"/>
  <c r="B28" i="2" s="1"/>
  <c r="H68" i="1"/>
  <c r="A67" i="2"/>
  <c r="A68" i="2"/>
  <c r="A69" i="2"/>
  <c r="A70" i="2"/>
  <c r="A71" i="2"/>
  <c r="A72" i="2"/>
  <c r="A73" i="2"/>
  <c r="A74" i="2"/>
  <c r="A75" i="2"/>
  <c r="A66" i="2"/>
  <c r="C67" i="2"/>
  <c r="C68" i="2"/>
  <c r="C69" i="2"/>
  <c r="C70" i="2"/>
  <c r="C71" i="2"/>
  <c r="C72" i="2"/>
  <c r="C73" i="2"/>
  <c r="C74" i="2"/>
  <c r="C75" i="2"/>
  <c r="H59" i="1" l="1"/>
  <c r="B66" i="2"/>
  <c r="B67" i="2"/>
  <c r="B68" i="2"/>
  <c r="B69" i="2"/>
  <c r="B70" i="2"/>
  <c r="B71" i="2"/>
  <c r="B72" i="2"/>
  <c r="B73" i="2"/>
  <c r="B74" i="2"/>
  <c r="B75" i="2"/>
  <c r="C66" i="2"/>
  <c r="C76" i="2" s="1"/>
  <c r="C78" i="2" s="1"/>
  <c r="D22" i="3"/>
  <c r="E22" i="3" s="1"/>
  <c r="F22" i="3" s="1"/>
  <c r="E25" i="3" l="1"/>
  <c r="D25" i="3" s="1"/>
  <c r="B76" i="2"/>
  <c r="B78" i="2" s="1"/>
  <c r="E6" i="3"/>
  <c r="E7" i="3"/>
  <c r="E8" i="3"/>
  <c r="E9" i="3"/>
  <c r="E10" i="3"/>
  <c r="E11" i="3"/>
  <c r="E12" i="3"/>
  <c r="E14" i="3"/>
  <c r="E15" i="3"/>
  <c r="E16" i="3"/>
  <c r="E17" i="3"/>
  <c r="E18" i="3"/>
  <c r="E19" i="3"/>
  <c r="E20" i="3"/>
  <c r="E13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6" i="3"/>
  <c r="A16" i="2" l="1"/>
  <c r="D10" i="3" l="1"/>
  <c r="D11" i="3"/>
  <c r="D12" i="3"/>
  <c r="D13" i="3"/>
  <c r="D14" i="3"/>
  <c r="D15" i="3"/>
  <c r="D16" i="3"/>
  <c r="D17" i="3"/>
  <c r="D18" i="3"/>
  <c r="D19" i="3"/>
  <c r="D20" i="3"/>
  <c r="A10" i="3"/>
  <c r="A11" i="3"/>
  <c r="A12" i="3"/>
  <c r="A13" i="3"/>
  <c r="A14" i="3"/>
  <c r="A15" i="3"/>
  <c r="D23" i="3" l="1"/>
  <c r="E23" i="3" s="1"/>
  <c r="F23" i="3" s="1"/>
  <c r="D21" i="3"/>
  <c r="E21" i="3" s="1"/>
  <c r="F21" i="3" s="1"/>
  <c r="A6" i="3" l="1"/>
  <c r="D8" i="3"/>
  <c r="D9" i="3"/>
  <c r="A7" i="3"/>
  <c r="D7" i="3"/>
  <c r="D6" i="3"/>
  <c r="D4" i="3"/>
  <c r="E4" i="3" s="1"/>
  <c r="F4" i="3" s="1"/>
  <c r="D5" i="3"/>
  <c r="E5" i="3" s="1"/>
  <c r="F5" i="3" s="1"/>
  <c r="D3" i="3"/>
  <c r="E3" i="3" s="1"/>
  <c r="F3" i="3" s="1"/>
  <c r="A8" i="3"/>
  <c r="A9" i="3"/>
  <c r="A16" i="3"/>
  <c r="A17" i="3"/>
  <c r="A18" i="3"/>
  <c r="A19" i="3"/>
  <c r="A20" i="3"/>
  <c r="F24" i="3" l="1"/>
  <c r="D24" i="3"/>
  <c r="E24" i="3"/>
  <c r="D53" i="2"/>
  <c r="B53" i="2" s="1"/>
  <c r="D54" i="2"/>
  <c r="C54" i="2" s="1"/>
  <c r="D55" i="2"/>
  <c r="C55" i="2" s="1"/>
  <c r="D56" i="2"/>
  <c r="B56" i="2" s="1"/>
  <c r="D57" i="2"/>
  <c r="B57" i="2" s="1"/>
  <c r="D58" i="2"/>
  <c r="C58" i="2" s="1"/>
  <c r="D59" i="2"/>
  <c r="C59" i="2" s="1"/>
  <c r="D60" i="2"/>
  <c r="B60" i="2" s="1"/>
  <c r="D61" i="2"/>
  <c r="B61" i="2" s="1"/>
  <c r="D52" i="2"/>
  <c r="C52" i="2" s="1"/>
  <c r="A53" i="2"/>
  <c r="A54" i="2"/>
  <c r="A55" i="2"/>
  <c r="A56" i="2"/>
  <c r="A57" i="2"/>
  <c r="A58" i="2"/>
  <c r="A59" i="2"/>
  <c r="A60" i="2"/>
  <c r="A61" i="2"/>
  <c r="A52" i="2"/>
  <c r="D33" i="2"/>
  <c r="B33" i="2" s="1"/>
  <c r="D34" i="2"/>
  <c r="C34" i="2" s="1"/>
  <c r="D35" i="2"/>
  <c r="C35" i="2" s="1"/>
  <c r="D36" i="2"/>
  <c r="B36" i="2" s="1"/>
  <c r="D37" i="2"/>
  <c r="B37" i="2" s="1"/>
  <c r="D38" i="2"/>
  <c r="C38" i="2" s="1"/>
  <c r="D39" i="2"/>
  <c r="B39" i="2" s="1"/>
  <c r="D40" i="2"/>
  <c r="B40" i="2" s="1"/>
  <c r="D41" i="2"/>
  <c r="B41" i="2" s="1"/>
  <c r="D42" i="2"/>
  <c r="C42" i="2" s="1"/>
  <c r="D43" i="2"/>
  <c r="C43" i="2" s="1"/>
  <c r="D44" i="2"/>
  <c r="B44" i="2" s="1"/>
  <c r="D45" i="2"/>
  <c r="B45" i="2" s="1"/>
  <c r="D46" i="2"/>
  <c r="C46" i="2" s="1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32" i="2"/>
  <c r="D32" i="2"/>
  <c r="D6" i="2"/>
  <c r="B6" i="2" s="1"/>
  <c r="D7" i="2"/>
  <c r="C7" i="2" s="1"/>
  <c r="D8" i="2"/>
  <c r="B8" i="2" s="1"/>
  <c r="D9" i="2"/>
  <c r="B9" i="2" s="1"/>
  <c r="D10" i="2"/>
  <c r="B10" i="2" s="1"/>
  <c r="D11" i="2"/>
  <c r="C11" i="2" s="1"/>
  <c r="D12" i="2"/>
  <c r="C12" i="2" s="1"/>
  <c r="D13" i="2"/>
  <c r="B13" i="2" s="1"/>
  <c r="D14" i="2"/>
  <c r="B14" i="2" s="1"/>
  <c r="D15" i="2"/>
  <c r="C15" i="2" s="1"/>
  <c r="D16" i="2"/>
  <c r="C16" i="2" s="1"/>
  <c r="D17" i="2"/>
  <c r="B17" i="2" s="1"/>
  <c r="D18" i="2"/>
  <c r="B18" i="2" s="1"/>
  <c r="D5" i="2"/>
  <c r="B5" i="2" s="1"/>
  <c r="D4" i="2"/>
  <c r="C4" i="2" s="1"/>
  <c r="A17" i="2"/>
  <c r="A18" i="2"/>
  <c r="A5" i="2"/>
  <c r="A6" i="2"/>
  <c r="A7" i="2"/>
  <c r="A8" i="2"/>
  <c r="A9" i="2"/>
  <c r="A10" i="2"/>
  <c r="A11" i="2"/>
  <c r="A12" i="2"/>
  <c r="A13" i="2"/>
  <c r="A14" i="2"/>
  <c r="A15" i="2"/>
  <c r="A4" i="2"/>
  <c r="G7" i="3" l="1"/>
  <c r="G22" i="3"/>
  <c r="G10" i="3"/>
  <c r="G21" i="3"/>
  <c r="G17" i="3"/>
  <c r="G23" i="3"/>
  <c r="G5" i="3"/>
  <c r="G18" i="3"/>
  <c r="G9" i="3"/>
  <c r="G19" i="3"/>
  <c r="G20" i="3"/>
  <c r="G12" i="3"/>
  <c r="G8" i="3"/>
  <c r="G14" i="3"/>
  <c r="G13" i="3"/>
  <c r="G16" i="3"/>
  <c r="G15" i="3"/>
  <c r="G4" i="3"/>
  <c r="G11" i="3"/>
  <c r="G3" i="3"/>
  <c r="G6" i="3"/>
  <c r="G24" i="3"/>
  <c r="B55" i="2"/>
  <c r="B59" i="2"/>
  <c r="B34" i="2"/>
  <c r="B43" i="2"/>
  <c r="D62" i="2"/>
  <c r="B54" i="2"/>
  <c r="B58" i="2"/>
  <c r="C56" i="2"/>
  <c r="C60" i="2"/>
  <c r="C61" i="2"/>
  <c r="C57" i="2"/>
  <c r="C53" i="2"/>
  <c r="B52" i="2"/>
  <c r="D19" i="2"/>
  <c r="B42" i="2"/>
  <c r="C39" i="2"/>
  <c r="B35" i="2"/>
  <c r="B46" i="2"/>
  <c r="B38" i="2"/>
  <c r="C44" i="2"/>
  <c r="C40" i="2"/>
  <c r="C36" i="2"/>
  <c r="C45" i="2"/>
  <c r="C41" i="2"/>
  <c r="C37" i="2"/>
  <c r="C33" i="2"/>
  <c r="B32" i="2"/>
  <c r="C32" i="2"/>
  <c r="B16" i="2"/>
  <c r="B4" i="2"/>
  <c r="B12" i="2"/>
  <c r="B11" i="2"/>
  <c r="B15" i="2"/>
  <c r="B7" i="2"/>
  <c r="C8" i="2"/>
  <c r="C17" i="2"/>
  <c r="C13" i="2"/>
  <c r="C9" i="2"/>
  <c r="C18" i="2"/>
  <c r="C14" i="2"/>
  <c r="C10" i="2"/>
  <c r="C6" i="2"/>
  <c r="C5" i="2"/>
  <c r="C62" i="2" l="1"/>
  <c r="B62" i="2"/>
  <c r="C19" i="2"/>
  <c r="B19" i="2"/>
  <c r="D47" i="2"/>
  <c r="D48" i="2" s="1"/>
  <c r="D81" i="2" s="1"/>
  <c r="D83" i="2" l="1"/>
  <c r="B47" i="2"/>
  <c r="B48" i="2" s="1"/>
  <c r="B81" i="2"/>
  <c r="C81" i="2"/>
  <c r="C47" i="2"/>
  <c r="C48" i="2" s="1"/>
  <c r="C83" i="2" l="1"/>
  <c r="B8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Claude Michaud</author>
  </authors>
  <commentList>
    <comment ref="H62" authorId="0" shapeId="0" xr:uid="{FFC09B48-FEAA-415A-9E39-BECED427B26D}">
      <text>
        <r>
          <rPr>
            <sz val="9"/>
            <color indexed="81"/>
            <rFont val="Tahoma"/>
            <family val="2"/>
          </rPr>
          <t>Indiquez le nombre de mois par an pendant lesquels la charge fixe est redevable (en général cette valeur ne change pas)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Claude Michaud</author>
  </authors>
  <commentList>
    <comment ref="A8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Ce résultat ne considère pas d'autres taxes, ni les impôts, qui devront être déduits par la suite.
</t>
        </r>
      </text>
    </comment>
  </commentList>
</comments>
</file>

<file path=xl/sharedStrings.xml><?xml version="1.0" encoding="utf-8"?>
<sst xmlns="http://schemas.openxmlformats.org/spreadsheetml/2006/main" count="189" uniqueCount="135">
  <si>
    <t>TVA</t>
  </si>
  <si>
    <t>Exempt</t>
  </si>
  <si>
    <t>Nourriture</t>
  </si>
  <si>
    <t>Hébergement</t>
  </si>
  <si>
    <t>Périodes</t>
  </si>
  <si>
    <t>Semaine</t>
  </si>
  <si>
    <t>Mois</t>
  </si>
  <si>
    <t>An</t>
  </si>
  <si>
    <t>Domaine  pour le calcul de la TVA:</t>
  </si>
  <si>
    <t>Produit ou service</t>
  </si>
  <si>
    <t>Coût
unitaire</t>
  </si>
  <si>
    <t>Quantité
vendue</t>
  </si>
  <si>
    <t>Charges directes: matière première, services externes, déplacements…</t>
  </si>
  <si>
    <t>Durée moyenne d'exécution unitaire en heures</t>
  </si>
  <si>
    <t>Durant
(mois par an)</t>
  </si>
  <si>
    <t>Recettes et charges variables de production</t>
  </si>
  <si>
    <t>Quantité
nécessaire</t>
  </si>
  <si>
    <t>Divers et imprévus en % du CA brut:</t>
  </si>
  <si>
    <t>Charges salariales de l'employeur:</t>
  </si>
  <si>
    <t>Par
Période</t>
  </si>
  <si>
    <t>Elément de charge fixe</t>
  </si>
  <si>
    <t>Mensuel</t>
  </si>
  <si>
    <t>Trimestriel</t>
  </si>
  <si>
    <t>Annuel</t>
  </si>
  <si>
    <t>Totaux</t>
  </si>
  <si>
    <t>Charges variables de production</t>
  </si>
  <si>
    <t>Charges fixes</t>
  </si>
  <si>
    <t>Retenues</t>
  </si>
  <si>
    <t>1) Lire et répondre aux mails et autres demandes d'informations</t>
  </si>
  <si>
    <t>2) Rechercher des informations et prospecter</t>
  </si>
  <si>
    <t>5) Donner un éventuel suivi et support aux clients</t>
  </si>
  <si>
    <t>6) Régler les tâches administratives</t>
  </si>
  <si>
    <t>3) Planifier et réaliser les achats</t>
  </si>
  <si>
    <t>En heures
par jour
OU</t>
  </si>
  <si>
    <t>En heures
par semaine</t>
  </si>
  <si>
    <t>Activités régulières et productives</t>
  </si>
  <si>
    <t>Moyennes</t>
  </si>
  <si>
    <t>Prix de vente
unitaire (HT)</t>
  </si>
  <si>
    <t>Coût
unitaire (HT)</t>
  </si>
  <si>
    <t>Recettes de production</t>
  </si>
  <si>
    <t>Chiffre d'affaires (HT)</t>
  </si>
  <si>
    <t>Charges variables</t>
  </si>
  <si>
    <t>Charges fixes et amortissements</t>
  </si>
  <si>
    <t>Résultat intermédiaire de l'activité</t>
  </si>
  <si>
    <t>Charges fixes d'exploitation et amortissements</t>
  </si>
  <si>
    <t>Heures maximum
par mois</t>
  </si>
  <si>
    <t>Heures maximum
par semaine</t>
  </si>
  <si>
    <t>Pourcentage de temps alloué</t>
  </si>
  <si>
    <t>7) Déplacements</t>
  </si>
  <si>
    <t>Supports</t>
  </si>
  <si>
    <t>Supports, salle de cours</t>
  </si>
  <si>
    <t>Animation</t>
  </si>
  <si>
    <t>Exemple: journée de formation</t>
  </si>
  <si>
    <t>Exemple: animation d'AG</t>
  </si>
  <si>
    <t>Exemple: World café</t>
  </si>
  <si>
    <t>Exemple: abonnement général CFF</t>
  </si>
  <si>
    <t>Produits/Services</t>
  </si>
  <si>
    <t>Exemple: cours de 5 jours (10 personnes)</t>
  </si>
  <si>
    <t>Heures mensuelles de travail pour un EPT:</t>
  </si>
  <si>
    <t>Charges de personnel</t>
  </si>
  <si>
    <t>Description du poste</t>
  </si>
  <si>
    <t>Salaire brut  pour du 100%</t>
  </si>
  <si>
    <t>13ème salaire ?</t>
  </si>
  <si>
    <t>Nombre de postes EPT</t>
  </si>
  <si>
    <t>Heures par semaine</t>
  </si>
  <si>
    <t>Heures par mois</t>
  </si>
  <si>
    <t>Oui</t>
  </si>
  <si>
    <t>Exemple: frais divers</t>
  </si>
  <si>
    <t>Exemple: loyer bureau + salle de cours</t>
  </si>
  <si>
    <t>Résultat net de l'activité (avant impôts)</t>
  </si>
  <si>
    <t>Disponibles</t>
  </si>
  <si>
    <t>Disponibles:</t>
  </si>
  <si>
    <t>Force de travail bénévole</t>
  </si>
  <si>
    <t>Description du poste bénévole</t>
  </si>
  <si>
    <t>Nombre de personnes</t>
  </si>
  <si>
    <t>Heures  par personne et  par mois</t>
  </si>
  <si>
    <t>Valeur</t>
  </si>
  <si>
    <t>Origine  et année</t>
  </si>
  <si>
    <t>Personnel: charges et force de travail</t>
  </si>
  <si>
    <t>Recettes récurrentes de subventions, donations, prix et autres</t>
  </si>
  <si>
    <t>Origine</t>
  </si>
  <si>
    <t>Recettes récurrentes de subventions…</t>
  </si>
  <si>
    <t>Déplacement</t>
  </si>
  <si>
    <t>Seuil de CA pour payer la TVA</t>
  </si>
  <si>
    <t>Heures lissées
par mois</t>
  </si>
  <si>
    <t>Evaluation du budget mensuel personnel</t>
  </si>
  <si>
    <t>Logement</t>
  </si>
  <si>
    <t>Loyer / intérêts hypothécaires</t>
  </si>
  <si>
    <t>Amortissement</t>
  </si>
  <si>
    <t>Electricité / gaz / eau</t>
  </si>
  <si>
    <t>Taxes radio / TV</t>
  </si>
  <si>
    <t>Téléphone, fax, internet</t>
  </si>
  <si>
    <t>Travaux d'entretien</t>
  </si>
  <si>
    <t>Assurances mobilière, ménage</t>
  </si>
  <si>
    <t>Divers</t>
  </si>
  <si>
    <t>Mobilité</t>
  </si>
  <si>
    <t>Financement véhicule privé</t>
  </si>
  <si>
    <t>Assurances véhicule privé</t>
  </si>
  <si>
    <t>Stationnement / parking</t>
  </si>
  <si>
    <t>Essence, réparations</t>
  </si>
  <si>
    <t>Bus et train</t>
  </si>
  <si>
    <t>Famille et loisirs</t>
  </si>
  <si>
    <t>Enfants (école, loisirs)</t>
  </si>
  <si>
    <t>Famille (culture, loisirs)</t>
  </si>
  <si>
    <t>Vêtements</t>
  </si>
  <si>
    <t>Assurances maladie</t>
  </si>
  <si>
    <t>Responsabilité civile</t>
  </si>
  <si>
    <t>Pensions</t>
  </si>
  <si>
    <t>Alimentation</t>
  </si>
  <si>
    <t>Hygiène</t>
  </si>
  <si>
    <t>Impôts</t>
  </si>
  <si>
    <t>Prévoyance</t>
  </si>
  <si>
    <t>Total intermédiaire</t>
  </si>
  <si>
    <t>Charges totales par mois</t>
  </si>
  <si>
    <t>Impôt / taxes véhicule privé</t>
  </si>
  <si>
    <t>Nom de ton organisation ou projet :</t>
  </si>
  <si>
    <t>Evaluation préliminaire de la viabilité financière</t>
  </si>
  <si>
    <r>
      <t xml:space="preserve">Ces tableaux te permettent d'enregistrer les informations de base pour calculer et vérifier si ton entreprise a </t>
    </r>
    <r>
      <rPr>
        <sz val="10"/>
        <color theme="1"/>
        <rFont val="Open Sans SemiBold"/>
      </rPr>
      <t>des chances d'être viable d'ici deux à trois ans</t>
    </r>
    <r>
      <rPr>
        <sz val="10"/>
        <color theme="1"/>
        <rFont val="Open Sans"/>
        <family val="2"/>
      </rPr>
      <t>. Les résultats seront calculés et visibles sur les deux prochains onglets. Tu peux même utiliser le quatrième onglet pour estimer tes besoins pour ton budget personnel.
 - N'informe que les cellules des tableaux ayant un fond vert clair, les autres cellules étant des titres ou des formules de calculs automatiques;
 - Informe, dans tes appréciations, des moyennes plausibles, voire même pessimistes et ajuste au besoin les quelques pourcentages de charges et divers.
 - Ne sois pas trop optimiste !
Vérifie les résultats sur l'onglet</t>
    </r>
    <r>
      <rPr>
        <sz val="10"/>
        <color theme="1"/>
        <rFont val="Open Sans SemiBold"/>
      </rPr>
      <t xml:space="preserve"> </t>
    </r>
    <r>
      <rPr>
        <b/>
        <sz val="10"/>
        <color theme="1"/>
        <rFont val="Open Sans SemiBold"/>
      </rPr>
      <t>"Finances"</t>
    </r>
    <r>
      <rPr>
        <sz val="10"/>
        <color theme="1"/>
        <rFont val="Open Sans SemiBold"/>
      </rPr>
      <t xml:space="preserve"> </t>
    </r>
    <r>
      <rPr>
        <sz val="10"/>
        <color theme="1"/>
        <rFont val="Open Sans"/>
        <family val="2"/>
      </rPr>
      <t xml:space="preserve">et n'oublie pas de regarder si toi et ton équipe aurez le temps de produire tes prestations sur l'onglet </t>
    </r>
    <r>
      <rPr>
        <b/>
        <sz val="10"/>
        <color theme="1"/>
        <rFont val="Open Sans SemiBold"/>
      </rPr>
      <t xml:space="preserve">"Timing" </t>
    </r>
    <r>
      <rPr>
        <sz val="10"/>
        <color theme="1"/>
        <rFont val="Open Sans"/>
        <family val="2"/>
      </rPr>
      <t>!</t>
    </r>
  </si>
  <si>
    <t>Disponibles :</t>
  </si>
  <si>
    <t>Oui/Non</t>
  </si>
  <si>
    <t>Non</t>
  </si>
  <si>
    <t>Exemple: Entreprise de formation et animation</t>
  </si>
  <si>
    <t>Exemple: Loterie romande</t>
  </si>
  <si>
    <t>Exemple: Prix action climatique</t>
  </si>
  <si>
    <t>Exemple: publicité facebook</t>
  </si>
  <si>
    <t>Exemple: Coordinateur</t>
  </si>
  <si>
    <t>Exemple: Formateur</t>
  </si>
  <si>
    <t>Exemple: Assistant-stagiaire</t>
  </si>
  <si>
    <t>Exemple: Comité</t>
  </si>
  <si>
    <t>Exemple: Groupes de travail</t>
  </si>
  <si>
    <t>Exemple: Administration</t>
  </si>
  <si>
    <r>
      <rPr>
        <b/>
        <sz val="14"/>
        <color theme="1"/>
        <rFont val="Open Sans"/>
      </rPr>
      <t>Projections financières</t>
    </r>
    <r>
      <rPr>
        <sz val="10"/>
        <color theme="1"/>
        <rFont val="Open Sans"/>
      </rPr>
      <t xml:space="preserve">
Les projections financières sont calculées à partir des informations données de l'onglet antérieur. Les calculs sont lissés sur l'année, considérant que les dépenses et recettes sont égales chaque mois.
Les calculs commencent par la colonne "Annuel"; les colonnes "Trimestriel" et "Mensuel" en dérivant par simples divisions.</t>
    </r>
  </si>
  <si>
    <r>
      <rPr>
        <b/>
        <sz val="14"/>
        <color theme="1"/>
        <rFont val="Open Sans"/>
      </rPr>
      <t>Timing</t>
    </r>
    <r>
      <rPr>
        <sz val="10"/>
        <color theme="1"/>
        <rFont val="Open Sans"/>
      </rPr>
      <t xml:space="preserve">
Ce tableau est une aide pour mesurer le temps qui disponible pour la production des produits ou services, tout en tenant compte d’autres activités quotidiennes.
    • Commence par définir combien d'heures tu vas consacrer mensuellement à votre activité
    • Estime le temps que toi (et ton équipe)  passerez pour chacune des rubriques 1,2,3,5,6 et 7; en heure et minutes par jour ou par semaine, à choix.
    • Regarde le total des heures calculées hebdomadaires et mensuelles, maximales et lissées, puis commence à ajuster sous l'onglet "Produits et services" :
        • Soit le nombre d'unités à produire;
        • Soit la force de travail;
        • Soit les deux;
      Jusqu'à ce que tu sois dans les limites que tu t'es fixées.
</t>
    </r>
  </si>
  <si>
    <t>Réserve pour les imprévus, pourcents :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</si>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</sst>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h]:mm\ &quot;h&quot;"/>
    <numFmt numFmtId="165" formatCode="&quot;fr.&quot;\ #,##0.00"/>
    <numFmt numFmtId="166" formatCode="#,##0.0"/>
    <numFmt numFmtId="167" formatCode="&quot;fr.&quot;\ #,##0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0"/>
      <name val="Open Sans"/>
      <family val="2"/>
    </font>
    <font>
      <b/>
      <sz val="12"/>
      <color theme="1"/>
      <name val="Calibri"/>
      <family val="2"/>
      <scheme val="minor"/>
    </font>
    <font>
      <sz val="10"/>
      <color theme="1" tint="4.9989318521683403E-2"/>
      <name val="Open Sans SemiBold"/>
    </font>
    <font>
      <sz val="10"/>
      <color theme="1"/>
      <name val="Open Sans"/>
    </font>
    <font>
      <sz val="11"/>
      <color theme="1"/>
      <name val="Open Sans SemiBold"/>
    </font>
    <font>
      <sz val="12"/>
      <color theme="1"/>
      <name val="Open Sans SemiBold"/>
    </font>
    <font>
      <b/>
      <sz val="10"/>
      <color theme="1"/>
      <name val="Open Sans SemiBold"/>
    </font>
    <font>
      <sz val="10"/>
      <color theme="1"/>
      <name val="Open Sans SemiBold"/>
    </font>
    <font>
      <sz val="10"/>
      <name val="Open Sans"/>
    </font>
    <font>
      <b/>
      <sz val="12"/>
      <color indexed="8"/>
      <name val="Open Sans"/>
    </font>
    <font>
      <sz val="10"/>
      <color theme="1"/>
      <name val="Calibri"/>
      <family val="2"/>
      <scheme val="minor"/>
    </font>
    <font>
      <b/>
      <sz val="14"/>
      <color theme="1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7FFE0"/>
        <bgColor indexed="64"/>
      </patternFill>
    </fill>
    <fill>
      <patternFill patternType="solid">
        <fgColor rgb="FFFDC3FC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90">
    <xf numFmtId="0" fontId="0" fillId="0" borderId="0" xfId="0"/>
    <xf numFmtId="165" fontId="0" fillId="0" borderId="0" xfId="0" applyNumberFormat="1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/>
    <xf numFmtId="165" fontId="3" fillId="0" borderId="0" xfId="0" applyNumberFormat="1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right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wrapText="1"/>
      <protection locked="0"/>
    </xf>
    <xf numFmtId="165" fontId="3" fillId="4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6" fontId="3" fillId="4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3" fillId="0" borderId="1" xfId="0" applyFont="1" applyBorder="1"/>
    <xf numFmtId="4" fontId="3" fillId="4" borderId="1" xfId="0" applyNumberFormat="1" applyFont="1" applyFill="1" applyBorder="1" applyProtection="1">
      <protection locked="0"/>
    </xf>
    <xf numFmtId="164" fontId="3" fillId="0" borderId="1" xfId="0" applyNumberFormat="1" applyFont="1" applyBorder="1"/>
    <xf numFmtId="3" fontId="3" fillId="4" borderId="1" xfId="0" applyNumberFormat="1" applyFont="1" applyFill="1" applyBorder="1" applyProtection="1">
      <protection locked="0"/>
    </xf>
    <xf numFmtId="9" fontId="3" fillId="4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0" fontId="4" fillId="0" borderId="1" xfId="0" applyFont="1" applyBorder="1"/>
    <xf numFmtId="167" fontId="3" fillId="0" borderId="1" xfId="0" applyNumberFormat="1" applyFont="1" applyBorder="1"/>
    <xf numFmtId="0" fontId="6" fillId="0" borderId="1" xfId="0" applyFont="1" applyBorder="1"/>
    <xf numFmtId="167" fontId="0" fillId="0" borderId="1" xfId="0" applyNumberFormat="1" applyBorder="1"/>
    <xf numFmtId="0" fontId="4" fillId="0" borderId="2" xfId="0" applyFont="1" applyBorder="1"/>
    <xf numFmtId="0" fontId="3" fillId="0" borderId="2" xfId="0" applyFont="1" applyBorder="1"/>
    <xf numFmtId="167" fontId="3" fillId="0" borderId="2" xfId="0" applyNumberFormat="1" applyFont="1" applyBorder="1"/>
    <xf numFmtId="0" fontId="12" fillId="0" borderId="0" xfId="0" applyFont="1"/>
    <xf numFmtId="164" fontId="12" fillId="0" borderId="1" xfId="0" applyNumberFormat="1" applyFont="1" applyBorder="1"/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8" fillId="2" borderId="0" xfId="0" applyFont="1" applyFill="1"/>
    <xf numFmtId="168" fontId="8" fillId="4" borderId="0" xfId="0" applyNumberFormat="1" applyFont="1" applyFill="1" applyProtection="1">
      <protection locked="0"/>
    </xf>
    <xf numFmtId="165" fontId="8" fillId="4" borderId="0" xfId="0" applyNumberFormat="1" applyFont="1" applyFill="1" applyProtection="1">
      <protection locked="0"/>
    </xf>
    <xf numFmtId="0" fontId="12" fillId="2" borderId="0" xfId="0" applyFont="1" applyFill="1"/>
    <xf numFmtId="0" fontId="7" fillId="3" borderId="1" xfId="0" applyFont="1" applyFill="1" applyBorder="1" applyAlignment="1">
      <alignment horizontal="right" vertical="center" wrapText="1"/>
    </xf>
    <xf numFmtId="167" fontId="7" fillId="3" borderId="1" xfId="0" applyNumberFormat="1" applyFont="1" applyFill="1" applyBorder="1"/>
    <xf numFmtId="0" fontId="7" fillId="5" borderId="0" xfId="0" applyFont="1" applyFill="1"/>
    <xf numFmtId="167" fontId="7" fillId="5" borderId="0" xfId="0" applyNumberFormat="1" applyFont="1" applyFill="1"/>
    <xf numFmtId="0" fontId="7" fillId="3" borderId="2" xfId="0" applyFont="1" applyFill="1" applyBorder="1" applyAlignment="1">
      <alignment horizontal="center" vertical="center" wrapText="1"/>
    </xf>
    <xf numFmtId="167" fontId="8" fillId="0" borderId="2" xfId="0" applyNumberFormat="1" applyFont="1" applyBorder="1"/>
    <xf numFmtId="167" fontId="7" fillId="3" borderId="2" xfId="0" applyNumberFormat="1" applyFont="1" applyFill="1" applyBorder="1"/>
    <xf numFmtId="0" fontId="7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right" vertical="center" wrapText="1"/>
    </xf>
    <xf numFmtId="164" fontId="7" fillId="3" borderId="2" xfId="0" quotePrefix="1" applyNumberFormat="1" applyFont="1" applyFill="1" applyBorder="1" applyAlignment="1">
      <alignment horizontal="center"/>
    </xf>
    <xf numFmtId="0" fontId="8" fillId="4" borderId="2" xfId="0" applyFont="1" applyFill="1" applyBorder="1"/>
    <xf numFmtId="164" fontId="8" fillId="4" borderId="2" xfId="0" applyNumberFormat="1" applyFont="1" applyFill="1" applyBorder="1" applyAlignment="1" applyProtection="1">
      <alignment horizontal="center"/>
      <protection locked="0"/>
    </xf>
    <xf numFmtId="164" fontId="7" fillId="3" borderId="2" xfId="0" applyNumberFormat="1" applyFont="1" applyFill="1" applyBorder="1" applyAlignment="1">
      <alignment horizontal="right" indent="3"/>
    </xf>
    <xf numFmtId="168" fontId="8" fillId="0" borderId="2" xfId="0" applyNumberFormat="1" applyFont="1" applyBorder="1" applyAlignment="1">
      <alignment horizontal="right" indent="3"/>
    </xf>
    <xf numFmtId="9" fontId="7" fillId="3" borderId="2" xfId="0" applyNumberFormat="1" applyFont="1" applyFill="1" applyBorder="1" applyAlignment="1">
      <alignment horizontal="right" indent="3"/>
    </xf>
    <xf numFmtId="0" fontId="13" fillId="0" borderId="2" xfId="0" applyFont="1" applyBorder="1" applyAlignment="1">
      <alignment horizontal="left" indent="1"/>
    </xf>
    <xf numFmtId="167" fontId="8" fillId="4" borderId="2" xfId="0" applyNumberFormat="1" applyFont="1" applyFill="1" applyBorder="1" applyProtection="1">
      <protection locked="0"/>
    </xf>
    <xf numFmtId="9" fontId="13" fillId="4" borderId="2" xfId="0" applyNumberFormat="1" applyFont="1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indent="9"/>
    </xf>
    <xf numFmtId="0" fontId="8" fillId="0" borderId="8" xfId="0" applyFont="1" applyBorder="1" applyAlignment="1">
      <alignment horizontal="left" indent="9"/>
    </xf>
    <xf numFmtId="0" fontId="8" fillId="0" borderId="9" xfId="0" applyFont="1" applyBorder="1" applyAlignment="1">
      <alignment horizontal="left" indent="9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13" fillId="0" borderId="7" xfId="0" applyFont="1" applyBorder="1" applyAlignment="1">
      <alignment horizontal="left" indent="1"/>
    </xf>
    <xf numFmtId="0" fontId="13" fillId="0" borderId="9" xfId="0" applyFont="1" applyBorder="1" applyAlignment="1">
      <alignment horizontal="left" indent="1"/>
    </xf>
    <xf numFmtId="0" fontId="7" fillId="3" borderId="7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top"/>
    </xf>
    <xf numFmtId="0" fontId="7" fillId="3" borderId="7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7FFE0"/>
      <color rgb="FFFDC3FC"/>
      <color rgb="FFFF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119945</xdr:colOff>
      <xdr:row>3</xdr:row>
      <xdr:rowOff>211663</xdr:rowOff>
    </xdr:from>
    <xdr:to>
      <xdr:col>7</xdr:col>
      <xdr:colOff>784437</xdr:colOff>
      <xdr:row>5</xdr:row>
      <xdr:rowOff>188097</xdr:rowOff>
    </xdr:to>
    <xdr:sp macro="" textlink="">
      <xdr:nvSpPr>
        <xdr:cNvPr id="2" name="Zone de texte 5">
          <a:extLst>
            <a:ext uri="{FF2B5EF4-FFF2-40B4-BE49-F238E27FC236}">
              <a16:creationId xmlns:a16="http://schemas.microsoft.com/office/drawing/2014/main" id="{4CB22571-B68F-7C4E-479C-B2D7DF7D09FB}"/>
            </a:ext>
          </a:extLst>
        </xdr:cNvPr>
        <xdr:cNvSpPr txBox="1"/>
      </xdr:nvSpPr>
      <xdr:spPr>
        <a:xfrm>
          <a:off x="8325556" y="2539996"/>
          <a:ext cx="3557270" cy="4279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600"/>
            </a:spcAft>
          </a:pPr>
          <a:r>
            <a:rPr lang="fr-CH" sz="2000">
              <a:solidFill>
                <a:srgbClr val="FFBDBD"/>
              </a:solidFill>
              <a:effectLst/>
              <a:latin typeface="Open Sans" pitchFamily="2" charset="0"/>
              <a:ea typeface="Calibri" panose="020F0502020204030204" pitchFamily="34" charset="0"/>
            </a:rPr>
            <a:t>Version en construction…</a:t>
          </a:r>
          <a:endParaRPr lang="fr-CH" sz="1000">
            <a:effectLst/>
            <a:latin typeface="Open Sans" pitchFamily="2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zoomScale="90" zoomScaleNormal="90" workbookViewId="0">
      <selection activeCell="B3" sqref="B3:H3"/>
    </sheetView>
  </sheetViews>
  <sheetFormatPr baseColWidth="10" defaultColWidth="10.81640625" defaultRowHeight="18" x14ac:dyDescent="0.55000000000000004"/>
  <cols>
    <col min="1" max="1" width="40.7265625" style="3" customWidth="1"/>
    <col min="2" max="2" width="21.90625" style="3" customWidth="1"/>
    <col min="3" max="3" width="40.7265625" style="3" customWidth="1"/>
    <col min="4" max="4" width="14.1796875" style="3" customWidth="1"/>
    <col min="5" max="5" width="18.08984375" style="3" customWidth="1"/>
    <col min="6" max="6" width="10.81640625" style="3"/>
    <col min="7" max="8" width="12.54296875" style="3" customWidth="1"/>
    <col min="9" max="16384" width="10.81640625" style="3"/>
  </cols>
  <sheetData>
    <row r="1" spans="1:12" ht="28" customHeight="1" x14ac:dyDescent="0.55000000000000004">
      <c r="A1" s="68" t="s">
        <v>116</v>
      </c>
      <c r="B1" s="68"/>
      <c r="C1" s="68"/>
      <c r="D1" s="68"/>
      <c r="E1" s="68"/>
      <c r="F1" s="68"/>
      <c r="G1" s="68"/>
      <c r="H1" s="68"/>
    </row>
    <row r="2" spans="1:12" ht="137.5" customHeight="1" x14ac:dyDescent="0.55000000000000004">
      <c r="A2" s="70" t="s">
        <v>117</v>
      </c>
      <c r="B2" s="70"/>
      <c r="C2" s="70"/>
      <c r="D2" s="70"/>
      <c r="E2" s="70"/>
      <c r="F2" s="70"/>
      <c r="G2" s="70"/>
      <c r="H2" s="70"/>
      <c r="I2" s="4"/>
      <c r="J2" s="4"/>
      <c r="K2" s="4"/>
      <c r="L2" s="4"/>
    </row>
    <row r="3" spans="1:12" x14ac:dyDescent="0.55000000000000004">
      <c r="A3" s="8" t="s">
        <v>115</v>
      </c>
      <c r="B3" s="69" t="s">
        <v>121</v>
      </c>
      <c r="C3" s="69"/>
      <c r="D3" s="69"/>
      <c r="E3" s="69"/>
      <c r="F3" s="69"/>
      <c r="G3" s="69"/>
      <c r="H3" s="69"/>
    </row>
    <row r="4" spans="1:12" x14ac:dyDescent="0.55000000000000004">
      <c r="A4" s="5"/>
      <c r="B4" s="67"/>
      <c r="C4" s="67"/>
      <c r="D4" s="67"/>
      <c r="E4" s="67"/>
      <c r="F4" s="67"/>
      <c r="G4" s="67"/>
      <c r="H4" s="5"/>
    </row>
    <row r="5" spans="1:12" x14ac:dyDescent="0.55000000000000004">
      <c r="A5" s="5" t="s">
        <v>8</v>
      </c>
      <c r="B5" s="17" t="s">
        <v>56</v>
      </c>
      <c r="C5" s="9" t="s">
        <v>18</v>
      </c>
      <c r="D5" s="22">
        <v>0.18</v>
      </c>
      <c r="E5" s="5"/>
      <c r="F5" s="5"/>
      <c r="G5" s="5"/>
      <c r="H5" s="5"/>
    </row>
    <row r="6" spans="1:12" x14ac:dyDescent="0.55000000000000004">
      <c r="A6" s="5" t="s">
        <v>17</v>
      </c>
      <c r="B6" s="22">
        <v>0.05</v>
      </c>
      <c r="C6" s="9" t="s">
        <v>58</v>
      </c>
      <c r="D6" s="23">
        <v>7.25</v>
      </c>
      <c r="E6" s="5"/>
      <c r="F6" s="5"/>
      <c r="G6" s="5"/>
      <c r="H6" s="5"/>
    </row>
    <row r="7" spans="1:12" x14ac:dyDescent="0.55000000000000004">
      <c r="C7" s="5"/>
      <c r="D7" s="5"/>
      <c r="E7" s="5"/>
      <c r="F7" s="5"/>
      <c r="G7" s="5"/>
      <c r="H7" s="5"/>
    </row>
    <row r="8" spans="1:12" x14ac:dyDescent="0.55000000000000004">
      <c r="A8" s="8" t="s">
        <v>15</v>
      </c>
      <c r="B8" s="5"/>
      <c r="C8" s="5"/>
      <c r="D8" s="5"/>
      <c r="E8" s="5"/>
      <c r="F8" s="5"/>
      <c r="G8" s="5"/>
      <c r="H8" s="5"/>
    </row>
    <row r="9" spans="1:12" ht="46.5" x14ac:dyDescent="0.55000000000000004">
      <c r="A9" s="10" t="s">
        <v>9</v>
      </c>
      <c r="B9" s="11" t="s">
        <v>37</v>
      </c>
      <c r="C9" s="11" t="s">
        <v>12</v>
      </c>
      <c r="D9" s="11" t="s">
        <v>38</v>
      </c>
      <c r="E9" s="11" t="s">
        <v>13</v>
      </c>
      <c r="F9" s="11" t="s">
        <v>11</v>
      </c>
      <c r="G9" s="11" t="s">
        <v>19</v>
      </c>
      <c r="H9" s="11" t="s">
        <v>14</v>
      </c>
    </row>
    <row r="10" spans="1:12" x14ac:dyDescent="0.55000000000000004">
      <c r="A10" s="12" t="s">
        <v>52</v>
      </c>
      <c r="B10" s="13">
        <v>1200</v>
      </c>
      <c r="C10" s="12" t="s">
        <v>49</v>
      </c>
      <c r="D10" s="13">
        <v>50</v>
      </c>
      <c r="E10" s="14">
        <v>0.33333333333333331</v>
      </c>
      <c r="F10" s="15">
        <v>10</v>
      </c>
      <c r="G10" s="16" t="s">
        <v>6</v>
      </c>
      <c r="H10" s="17">
        <v>9</v>
      </c>
    </row>
    <row r="11" spans="1:12" x14ac:dyDescent="0.55000000000000004">
      <c r="A11" s="12" t="s">
        <v>57</v>
      </c>
      <c r="B11" s="13">
        <v>8000</v>
      </c>
      <c r="C11" s="12" t="s">
        <v>50</v>
      </c>
      <c r="D11" s="13">
        <v>200</v>
      </c>
      <c r="E11" s="14">
        <v>1.6666666666666667</v>
      </c>
      <c r="F11" s="15">
        <v>20</v>
      </c>
      <c r="G11" s="16" t="s">
        <v>7</v>
      </c>
      <c r="H11" s="17">
        <v>10</v>
      </c>
    </row>
    <row r="12" spans="1:12" x14ac:dyDescent="0.55000000000000004">
      <c r="A12" s="12" t="s">
        <v>53</v>
      </c>
      <c r="B12" s="13">
        <v>800</v>
      </c>
      <c r="C12" s="12" t="s">
        <v>82</v>
      </c>
      <c r="D12" s="13">
        <v>80</v>
      </c>
      <c r="E12" s="14">
        <v>0.25</v>
      </c>
      <c r="F12" s="15">
        <v>5</v>
      </c>
      <c r="G12" s="16" t="s">
        <v>7</v>
      </c>
      <c r="H12" s="17">
        <v>11</v>
      </c>
    </row>
    <row r="13" spans="1:12" x14ac:dyDescent="0.55000000000000004">
      <c r="A13" s="12" t="s">
        <v>54</v>
      </c>
      <c r="B13" s="13">
        <v>600</v>
      </c>
      <c r="C13" s="12" t="s">
        <v>51</v>
      </c>
      <c r="D13" s="13">
        <v>50</v>
      </c>
      <c r="E13" s="14">
        <v>0.16666666666666666</v>
      </c>
      <c r="F13" s="15">
        <v>3</v>
      </c>
      <c r="G13" s="16" t="s">
        <v>7</v>
      </c>
      <c r="H13" s="17">
        <v>11</v>
      </c>
    </row>
    <row r="14" spans="1:12" x14ac:dyDescent="0.55000000000000004">
      <c r="A14" s="12"/>
      <c r="B14" s="13"/>
      <c r="C14" s="12"/>
      <c r="D14" s="13"/>
      <c r="E14" s="14"/>
      <c r="F14" s="15"/>
      <c r="G14" s="16"/>
      <c r="H14" s="17">
        <v>11</v>
      </c>
    </row>
    <row r="15" spans="1:12" x14ac:dyDescent="0.55000000000000004">
      <c r="A15" s="12"/>
      <c r="B15" s="13"/>
      <c r="C15" s="12"/>
      <c r="D15" s="13"/>
      <c r="E15" s="14"/>
      <c r="F15" s="15"/>
      <c r="G15" s="16"/>
      <c r="H15" s="17">
        <v>11</v>
      </c>
    </row>
    <row r="16" spans="1:12" x14ac:dyDescent="0.55000000000000004">
      <c r="A16" s="12"/>
      <c r="B16" s="13"/>
      <c r="C16" s="12"/>
      <c r="D16" s="13"/>
      <c r="E16" s="14"/>
      <c r="F16" s="15"/>
      <c r="G16" s="16"/>
      <c r="H16" s="17">
        <v>11</v>
      </c>
    </row>
    <row r="17" spans="1:8" x14ac:dyDescent="0.55000000000000004">
      <c r="A17" s="12"/>
      <c r="B17" s="13"/>
      <c r="C17" s="12"/>
      <c r="D17" s="13"/>
      <c r="E17" s="14"/>
      <c r="F17" s="15"/>
      <c r="G17" s="16"/>
      <c r="H17" s="17">
        <v>11</v>
      </c>
    </row>
    <row r="18" spans="1:8" x14ac:dyDescent="0.55000000000000004">
      <c r="A18" s="12"/>
      <c r="B18" s="13"/>
      <c r="C18" s="12"/>
      <c r="D18" s="13"/>
      <c r="E18" s="14"/>
      <c r="F18" s="15"/>
      <c r="G18" s="16"/>
      <c r="H18" s="17">
        <v>11</v>
      </c>
    </row>
    <row r="19" spans="1:8" x14ac:dyDescent="0.55000000000000004">
      <c r="A19" s="12"/>
      <c r="B19" s="13"/>
      <c r="C19" s="12"/>
      <c r="D19" s="13"/>
      <c r="E19" s="14"/>
      <c r="F19" s="15"/>
      <c r="G19" s="16"/>
      <c r="H19" s="17">
        <v>11</v>
      </c>
    </row>
    <row r="20" spans="1:8" x14ac:dyDescent="0.55000000000000004">
      <c r="A20" s="12"/>
      <c r="B20" s="13"/>
      <c r="C20" s="12"/>
      <c r="D20" s="13"/>
      <c r="E20" s="14"/>
      <c r="F20" s="15"/>
      <c r="G20" s="16"/>
      <c r="H20" s="17">
        <v>11</v>
      </c>
    </row>
    <row r="21" spans="1:8" x14ac:dyDescent="0.55000000000000004">
      <c r="A21" s="12"/>
      <c r="B21" s="13"/>
      <c r="C21" s="12"/>
      <c r="D21" s="13"/>
      <c r="E21" s="14"/>
      <c r="F21" s="15"/>
      <c r="G21" s="16"/>
      <c r="H21" s="17">
        <v>11</v>
      </c>
    </row>
    <row r="22" spans="1:8" x14ac:dyDescent="0.55000000000000004">
      <c r="A22" s="12"/>
      <c r="B22" s="13"/>
      <c r="C22" s="12"/>
      <c r="D22" s="13"/>
      <c r="E22" s="14"/>
      <c r="F22" s="15"/>
      <c r="G22" s="16"/>
      <c r="H22" s="17">
        <v>11</v>
      </c>
    </row>
    <row r="23" spans="1:8" x14ac:dyDescent="0.55000000000000004">
      <c r="A23" s="12"/>
      <c r="B23" s="13"/>
      <c r="C23" s="12"/>
      <c r="D23" s="13"/>
      <c r="E23" s="14"/>
      <c r="F23" s="15"/>
      <c r="G23" s="16"/>
      <c r="H23" s="17">
        <v>11</v>
      </c>
    </row>
    <row r="24" spans="1:8" x14ac:dyDescent="0.55000000000000004">
      <c r="A24" s="12"/>
      <c r="B24" s="13"/>
      <c r="C24" s="12"/>
      <c r="D24" s="13"/>
      <c r="E24" s="14"/>
      <c r="F24" s="15"/>
      <c r="G24" s="16"/>
      <c r="H24" s="17">
        <v>11</v>
      </c>
    </row>
    <row r="25" spans="1:8" x14ac:dyDescent="0.55000000000000004">
      <c r="A25" s="5"/>
      <c r="B25" s="5"/>
      <c r="C25" s="5"/>
      <c r="D25" s="5"/>
      <c r="E25" s="5"/>
      <c r="F25" s="5"/>
      <c r="G25" s="5"/>
      <c r="H25" s="5"/>
    </row>
    <row r="26" spans="1:8" x14ac:dyDescent="0.55000000000000004">
      <c r="A26" s="8" t="s">
        <v>79</v>
      </c>
      <c r="B26" s="6"/>
      <c r="C26" s="5"/>
      <c r="D26" s="5"/>
      <c r="E26" s="5"/>
      <c r="F26" s="5"/>
      <c r="G26" s="5"/>
      <c r="H26" s="5"/>
    </row>
    <row r="27" spans="1:8" x14ac:dyDescent="0.55000000000000004">
      <c r="A27" s="10" t="s">
        <v>77</v>
      </c>
      <c r="B27" s="11" t="s">
        <v>76</v>
      </c>
      <c r="C27" s="5"/>
      <c r="D27" s="5"/>
      <c r="E27" s="5"/>
      <c r="F27" s="5"/>
      <c r="G27" s="5"/>
      <c r="H27" s="5"/>
    </row>
    <row r="28" spans="1:8" x14ac:dyDescent="0.55000000000000004">
      <c r="A28" s="12" t="s">
        <v>122</v>
      </c>
      <c r="B28" s="13">
        <v>10000</v>
      </c>
      <c r="C28" s="5"/>
      <c r="D28" s="5"/>
      <c r="E28" s="5"/>
      <c r="F28" s="5"/>
      <c r="G28" s="5"/>
      <c r="H28" s="5"/>
    </row>
    <row r="29" spans="1:8" x14ac:dyDescent="0.55000000000000004">
      <c r="A29" s="12" t="s">
        <v>123</v>
      </c>
      <c r="B29" s="13">
        <v>15000</v>
      </c>
      <c r="C29" s="5"/>
      <c r="D29" s="5"/>
      <c r="E29" s="5"/>
      <c r="F29" s="5"/>
      <c r="G29" s="5"/>
      <c r="H29" s="5"/>
    </row>
    <row r="30" spans="1:8" x14ac:dyDescent="0.55000000000000004">
      <c r="A30" s="12"/>
      <c r="B30" s="13"/>
      <c r="C30" s="5"/>
      <c r="D30" s="5"/>
      <c r="E30" s="5"/>
      <c r="F30" s="5"/>
      <c r="G30" s="5"/>
      <c r="H30" s="5"/>
    </row>
    <row r="31" spans="1:8" x14ac:dyDescent="0.55000000000000004">
      <c r="A31" s="12"/>
      <c r="B31" s="13"/>
      <c r="C31" s="5"/>
      <c r="D31" s="5"/>
      <c r="E31" s="5"/>
      <c r="F31" s="5"/>
      <c r="G31" s="5"/>
      <c r="H31" s="5"/>
    </row>
    <row r="32" spans="1:8" x14ac:dyDescent="0.55000000000000004">
      <c r="A32" s="12"/>
      <c r="B32" s="13"/>
      <c r="C32" s="5"/>
      <c r="D32" s="5"/>
      <c r="E32" s="5"/>
      <c r="F32" s="5"/>
      <c r="G32" s="5"/>
      <c r="H32" s="5"/>
    </row>
    <row r="33" spans="1:8" x14ac:dyDescent="0.55000000000000004">
      <c r="A33" s="5"/>
      <c r="B33" s="5"/>
      <c r="C33" s="5"/>
      <c r="D33" s="5"/>
      <c r="E33" s="5"/>
      <c r="F33" s="5"/>
      <c r="G33" s="5"/>
      <c r="H33" s="5"/>
    </row>
    <row r="34" spans="1:8" x14ac:dyDescent="0.55000000000000004">
      <c r="A34" s="8" t="s">
        <v>44</v>
      </c>
      <c r="B34" s="5"/>
      <c r="C34" s="5"/>
      <c r="D34" s="5"/>
      <c r="E34" s="5"/>
      <c r="F34" s="5"/>
      <c r="G34" s="5"/>
      <c r="H34" s="5"/>
    </row>
    <row r="35" spans="1:8" ht="31" x14ac:dyDescent="0.55000000000000004">
      <c r="A35" s="10" t="s">
        <v>20</v>
      </c>
      <c r="B35" s="33"/>
      <c r="C35" s="35"/>
      <c r="D35" s="11" t="s">
        <v>10</v>
      </c>
      <c r="E35" s="11"/>
      <c r="F35" s="11" t="s">
        <v>16</v>
      </c>
      <c r="G35" s="11" t="s">
        <v>19</v>
      </c>
      <c r="H35" s="11" t="s">
        <v>14</v>
      </c>
    </row>
    <row r="36" spans="1:8" x14ac:dyDescent="0.55000000000000004">
      <c r="A36" s="12" t="s">
        <v>55</v>
      </c>
      <c r="B36" s="36"/>
      <c r="C36" s="38"/>
      <c r="D36" s="13">
        <v>3550</v>
      </c>
      <c r="E36" s="18"/>
      <c r="F36" s="15">
        <v>2</v>
      </c>
      <c r="G36" s="16" t="s">
        <v>7</v>
      </c>
      <c r="H36" s="17">
        <v>12</v>
      </c>
    </row>
    <row r="37" spans="1:8" x14ac:dyDescent="0.55000000000000004">
      <c r="A37" s="12" t="s">
        <v>68</v>
      </c>
      <c r="B37" s="36"/>
      <c r="C37" s="38"/>
      <c r="D37" s="13">
        <v>1800</v>
      </c>
      <c r="E37" s="18"/>
      <c r="F37" s="15">
        <v>1</v>
      </c>
      <c r="G37" s="16" t="s">
        <v>6</v>
      </c>
      <c r="H37" s="17">
        <v>12</v>
      </c>
    </row>
    <row r="38" spans="1:8" x14ac:dyDescent="0.55000000000000004">
      <c r="A38" s="12" t="s">
        <v>67</v>
      </c>
      <c r="B38" s="36"/>
      <c r="C38" s="38"/>
      <c r="D38" s="13">
        <v>300</v>
      </c>
      <c r="E38" s="18"/>
      <c r="F38" s="15">
        <v>1</v>
      </c>
      <c r="G38" s="16" t="s">
        <v>6</v>
      </c>
      <c r="H38" s="17">
        <v>12</v>
      </c>
    </row>
    <row r="39" spans="1:8" x14ac:dyDescent="0.55000000000000004">
      <c r="A39" s="12" t="s">
        <v>124</v>
      </c>
      <c r="B39" s="36"/>
      <c r="C39" s="38"/>
      <c r="D39" s="13">
        <v>20</v>
      </c>
      <c r="E39" s="18"/>
      <c r="F39" s="15">
        <v>2</v>
      </c>
      <c r="G39" s="16" t="s">
        <v>5</v>
      </c>
      <c r="H39" s="17">
        <v>12</v>
      </c>
    </row>
    <row r="40" spans="1:8" x14ac:dyDescent="0.55000000000000004">
      <c r="A40" s="12"/>
      <c r="B40" s="36"/>
      <c r="C40" s="38"/>
      <c r="D40" s="13"/>
      <c r="E40" s="18"/>
      <c r="F40" s="15"/>
      <c r="G40" s="16"/>
      <c r="H40" s="17">
        <v>12</v>
      </c>
    </row>
    <row r="41" spans="1:8" x14ac:dyDescent="0.55000000000000004">
      <c r="A41" s="12"/>
      <c r="B41" s="36"/>
      <c r="C41" s="38"/>
      <c r="D41" s="13"/>
      <c r="E41" s="18"/>
      <c r="F41" s="15"/>
      <c r="G41" s="16"/>
      <c r="H41" s="17">
        <v>12</v>
      </c>
    </row>
    <row r="42" spans="1:8" x14ac:dyDescent="0.55000000000000004">
      <c r="A42" s="12"/>
      <c r="B42" s="36"/>
      <c r="C42" s="38"/>
      <c r="D42" s="13"/>
      <c r="E42" s="18"/>
      <c r="F42" s="15"/>
      <c r="G42" s="16"/>
      <c r="H42" s="17">
        <v>12</v>
      </c>
    </row>
    <row r="43" spans="1:8" x14ac:dyDescent="0.55000000000000004">
      <c r="A43" s="12"/>
      <c r="B43" s="36"/>
      <c r="C43" s="38"/>
      <c r="D43" s="13"/>
      <c r="E43" s="18"/>
      <c r="F43" s="15"/>
      <c r="G43" s="16"/>
      <c r="H43" s="17">
        <v>12</v>
      </c>
    </row>
    <row r="44" spans="1:8" x14ac:dyDescent="0.55000000000000004">
      <c r="A44" s="12"/>
      <c r="B44" s="36"/>
      <c r="C44" s="38"/>
      <c r="D44" s="13"/>
      <c r="E44" s="18"/>
      <c r="F44" s="15"/>
      <c r="G44" s="16"/>
      <c r="H44" s="17">
        <v>12</v>
      </c>
    </row>
    <row r="45" spans="1:8" x14ac:dyDescent="0.55000000000000004">
      <c r="A45" s="12"/>
      <c r="B45" s="36"/>
      <c r="C45" s="38"/>
      <c r="D45" s="13"/>
      <c r="E45" s="18"/>
      <c r="F45" s="15"/>
      <c r="G45" s="16"/>
      <c r="H45" s="17">
        <v>12</v>
      </c>
    </row>
    <row r="46" spans="1:8" x14ac:dyDescent="0.55000000000000004">
      <c r="A46" s="5"/>
      <c r="B46" s="5"/>
      <c r="C46" s="5"/>
      <c r="D46" s="5"/>
      <c r="E46" s="5"/>
      <c r="F46" s="5"/>
      <c r="G46" s="5"/>
      <c r="H46" s="5"/>
    </row>
    <row r="47" spans="1:8" x14ac:dyDescent="0.55000000000000004">
      <c r="A47" s="8" t="s">
        <v>78</v>
      </c>
      <c r="B47" s="5"/>
      <c r="C47" s="5"/>
      <c r="D47" s="5"/>
      <c r="E47" s="5"/>
      <c r="F47" s="5"/>
      <c r="G47" s="5"/>
      <c r="H47" s="5"/>
    </row>
    <row r="48" spans="1:8" ht="31" x14ac:dyDescent="0.55000000000000004">
      <c r="A48" s="10" t="s">
        <v>60</v>
      </c>
      <c r="B48" s="33"/>
      <c r="C48" s="35"/>
      <c r="D48" s="11" t="s">
        <v>61</v>
      </c>
      <c r="E48" s="11" t="s">
        <v>62</v>
      </c>
      <c r="F48" s="11" t="s">
        <v>63</v>
      </c>
      <c r="G48" s="11" t="s">
        <v>64</v>
      </c>
      <c r="H48" s="11" t="s">
        <v>65</v>
      </c>
    </row>
    <row r="49" spans="1:8" x14ac:dyDescent="0.55000000000000004">
      <c r="A49" s="12" t="s">
        <v>125</v>
      </c>
      <c r="B49" s="36"/>
      <c r="C49" s="38"/>
      <c r="D49" s="13">
        <v>7000</v>
      </c>
      <c r="E49" s="16" t="s">
        <v>66</v>
      </c>
      <c r="F49" s="19">
        <v>0.1</v>
      </c>
      <c r="G49" s="20">
        <f>IF(A49="","",(H49/21.7)*5)</f>
        <v>0.16705069124423966</v>
      </c>
      <c r="H49" s="20">
        <f>IF(A49="","",F49*$D$6)</f>
        <v>0.72500000000000009</v>
      </c>
    </row>
    <row r="50" spans="1:8" x14ac:dyDescent="0.55000000000000004">
      <c r="A50" s="12" t="s">
        <v>126</v>
      </c>
      <c r="B50" s="36"/>
      <c r="C50" s="38"/>
      <c r="D50" s="13">
        <v>6500</v>
      </c>
      <c r="E50" s="16" t="s">
        <v>66</v>
      </c>
      <c r="F50" s="19">
        <v>1.6</v>
      </c>
      <c r="G50" s="20">
        <f t="shared" ref="G50:G58" si="0">IF(A50="","",(H50/21.7)*5)</f>
        <v>2.6728110599078345</v>
      </c>
      <c r="H50" s="20">
        <f t="shared" ref="H50:H58" si="1">IF(A50="","",F50*$D$6)</f>
        <v>11.600000000000001</v>
      </c>
    </row>
    <row r="51" spans="1:8" x14ac:dyDescent="0.55000000000000004">
      <c r="A51" s="12" t="s">
        <v>127</v>
      </c>
      <c r="B51" s="36"/>
      <c r="C51" s="38"/>
      <c r="D51" s="13">
        <v>2500</v>
      </c>
      <c r="E51" s="16" t="s">
        <v>66</v>
      </c>
      <c r="F51" s="19">
        <v>0.5</v>
      </c>
      <c r="G51" s="20">
        <f t="shared" si="0"/>
        <v>0.83525345622119818</v>
      </c>
      <c r="H51" s="20">
        <f t="shared" si="1"/>
        <v>3.625</v>
      </c>
    </row>
    <row r="52" spans="1:8" x14ac:dyDescent="0.55000000000000004">
      <c r="A52" s="12"/>
      <c r="B52" s="36"/>
      <c r="C52" s="38"/>
      <c r="D52" s="13"/>
      <c r="E52" s="16"/>
      <c r="F52" s="19"/>
      <c r="G52" s="20" t="str">
        <f t="shared" si="0"/>
        <v/>
      </c>
      <c r="H52" s="20" t="str">
        <f t="shared" si="1"/>
        <v/>
      </c>
    </row>
    <row r="53" spans="1:8" x14ac:dyDescent="0.55000000000000004">
      <c r="A53" s="12"/>
      <c r="B53" s="36"/>
      <c r="C53" s="38"/>
      <c r="D53" s="13"/>
      <c r="E53" s="16"/>
      <c r="F53" s="19"/>
      <c r="G53" s="20" t="str">
        <f t="shared" si="0"/>
        <v/>
      </c>
      <c r="H53" s="20" t="str">
        <f t="shared" si="1"/>
        <v/>
      </c>
    </row>
    <row r="54" spans="1:8" x14ac:dyDescent="0.55000000000000004">
      <c r="A54" s="12"/>
      <c r="B54" s="36"/>
      <c r="C54" s="38"/>
      <c r="D54" s="13"/>
      <c r="E54" s="16"/>
      <c r="F54" s="19"/>
      <c r="G54" s="20" t="str">
        <f t="shared" si="0"/>
        <v/>
      </c>
      <c r="H54" s="20" t="str">
        <f t="shared" si="1"/>
        <v/>
      </c>
    </row>
    <row r="55" spans="1:8" x14ac:dyDescent="0.55000000000000004">
      <c r="A55" s="12"/>
      <c r="B55" s="36"/>
      <c r="C55" s="38"/>
      <c r="D55" s="13"/>
      <c r="E55" s="16"/>
      <c r="F55" s="19"/>
      <c r="G55" s="20" t="str">
        <f t="shared" si="0"/>
        <v/>
      </c>
      <c r="H55" s="20" t="str">
        <f t="shared" si="1"/>
        <v/>
      </c>
    </row>
    <row r="56" spans="1:8" x14ac:dyDescent="0.55000000000000004">
      <c r="A56" s="12"/>
      <c r="B56" s="36"/>
      <c r="C56" s="38"/>
      <c r="D56" s="13"/>
      <c r="E56" s="16"/>
      <c r="F56" s="19"/>
      <c r="G56" s="20" t="str">
        <f t="shared" si="0"/>
        <v/>
      </c>
      <c r="H56" s="20" t="str">
        <f t="shared" si="1"/>
        <v/>
      </c>
    </row>
    <row r="57" spans="1:8" x14ac:dyDescent="0.55000000000000004">
      <c r="A57" s="12"/>
      <c r="B57" s="36"/>
      <c r="C57" s="38"/>
      <c r="D57" s="13"/>
      <c r="E57" s="16"/>
      <c r="F57" s="19"/>
      <c r="G57" s="20" t="str">
        <f t="shared" si="0"/>
        <v/>
      </c>
      <c r="H57" s="20" t="str">
        <f t="shared" si="1"/>
        <v/>
      </c>
    </row>
    <row r="58" spans="1:8" x14ac:dyDescent="0.55000000000000004">
      <c r="A58" s="12"/>
      <c r="B58" s="36"/>
      <c r="C58" s="38"/>
      <c r="D58" s="13"/>
      <c r="E58" s="16"/>
      <c r="F58" s="19"/>
      <c r="G58" s="20" t="str">
        <f t="shared" si="0"/>
        <v/>
      </c>
      <c r="H58" s="20" t="str">
        <f t="shared" si="1"/>
        <v/>
      </c>
    </row>
    <row r="59" spans="1:8" x14ac:dyDescent="0.55000000000000004">
      <c r="A59" s="5"/>
      <c r="B59" s="5"/>
      <c r="C59" s="5"/>
      <c r="D59" s="5"/>
      <c r="E59" s="5"/>
      <c r="F59" s="5"/>
      <c r="G59" s="31" t="s">
        <v>118</v>
      </c>
      <c r="H59" s="32">
        <f>SUM(H49:H58)</f>
        <v>15.950000000000001</v>
      </c>
    </row>
    <row r="60" spans="1:8" x14ac:dyDescent="0.55000000000000004">
      <c r="A60" s="5"/>
      <c r="B60" s="5"/>
      <c r="C60" s="5"/>
      <c r="D60" s="5"/>
      <c r="E60" s="5"/>
      <c r="F60" s="5"/>
      <c r="G60" s="5"/>
      <c r="H60" s="5"/>
    </row>
    <row r="61" spans="1:8" customFormat="1" x14ac:dyDescent="0.55000000000000004">
      <c r="A61" s="8" t="s">
        <v>72</v>
      </c>
      <c r="B61" s="5"/>
      <c r="C61" s="5"/>
      <c r="D61" s="5"/>
      <c r="E61" s="5"/>
      <c r="F61" s="5"/>
      <c r="G61" s="5"/>
      <c r="H61" s="5"/>
    </row>
    <row r="62" spans="1:8" customFormat="1" ht="46.5" x14ac:dyDescent="0.35">
      <c r="A62" s="10" t="s">
        <v>73</v>
      </c>
      <c r="B62" s="33"/>
      <c r="C62" s="34"/>
      <c r="D62" s="34"/>
      <c r="E62" s="35"/>
      <c r="F62" s="11" t="s">
        <v>74</v>
      </c>
      <c r="G62" s="11" t="s">
        <v>75</v>
      </c>
      <c r="H62" s="11" t="s">
        <v>65</v>
      </c>
    </row>
    <row r="63" spans="1:8" customFormat="1" ht="15.5" x14ac:dyDescent="0.45">
      <c r="A63" s="12" t="s">
        <v>128</v>
      </c>
      <c r="B63" s="36"/>
      <c r="C63" s="37"/>
      <c r="D63" s="37"/>
      <c r="E63" s="38"/>
      <c r="F63" s="21">
        <v>7</v>
      </c>
      <c r="G63" s="14">
        <v>0.125</v>
      </c>
      <c r="H63" s="20">
        <f>F63*G63</f>
        <v>0.875</v>
      </c>
    </row>
    <row r="64" spans="1:8" customFormat="1" ht="15.5" x14ac:dyDescent="0.45">
      <c r="A64" s="12" t="s">
        <v>129</v>
      </c>
      <c r="B64" s="36"/>
      <c r="C64" s="37"/>
      <c r="D64" s="37"/>
      <c r="E64" s="38"/>
      <c r="F64" s="21">
        <v>15</v>
      </c>
      <c r="G64" s="14">
        <v>8.3333333333333329E-2</v>
      </c>
      <c r="H64" s="20">
        <f>F64*G64</f>
        <v>1.25</v>
      </c>
    </row>
    <row r="65" spans="1:8" customFormat="1" ht="15.5" x14ac:dyDescent="0.45">
      <c r="A65" s="12" t="s">
        <v>130</v>
      </c>
      <c r="B65" s="36"/>
      <c r="C65" s="37"/>
      <c r="D65" s="37"/>
      <c r="E65" s="38"/>
      <c r="F65" s="21">
        <v>2</v>
      </c>
      <c r="G65" s="14">
        <v>4.1666666666666664E-2</v>
      </c>
      <c r="H65" s="20">
        <f t="shared" ref="H65:H67" si="2">F65*G65</f>
        <v>8.3333333333333329E-2</v>
      </c>
    </row>
    <row r="66" spans="1:8" customFormat="1" ht="15.5" x14ac:dyDescent="0.45">
      <c r="A66" s="12"/>
      <c r="B66" s="36"/>
      <c r="C66" s="37"/>
      <c r="D66" s="37"/>
      <c r="E66" s="38"/>
      <c r="F66" s="21"/>
      <c r="G66" s="14"/>
      <c r="H66" s="20">
        <f t="shared" si="2"/>
        <v>0</v>
      </c>
    </row>
    <row r="67" spans="1:8" customFormat="1" ht="15.5" x14ac:dyDescent="0.45">
      <c r="A67" s="12"/>
      <c r="B67" s="36"/>
      <c r="C67" s="37"/>
      <c r="D67" s="37"/>
      <c r="E67" s="38"/>
      <c r="F67" s="21"/>
      <c r="G67" s="14"/>
      <c r="H67" s="20">
        <f t="shared" si="2"/>
        <v>0</v>
      </c>
    </row>
    <row r="68" spans="1:8" customFormat="1" ht="15.5" x14ac:dyDescent="0.45">
      <c r="A68" s="5"/>
      <c r="B68" s="5"/>
      <c r="C68" s="5"/>
      <c r="D68" s="5"/>
      <c r="E68" s="5"/>
      <c r="F68" s="5"/>
      <c r="G68" s="31" t="s">
        <v>71</v>
      </c>
      <c r="H68" s="32">
        <f>SUM(H63:H67)</f>
        <v>2.2083333333333335</v>
      </c>
    </row>
  </sheetData>
  <sheetProtection sheet="1" selectLockedCells="1"/>
  <mergeCells count="4">
    <mergeCell ref="B4:G4"/>
    <mergeCell ref="A1:H1"/>
    <mergeCell ref="B3:H3"/>
    <mergeCell ref="A2:H2"/>
  </mergeCells>
  <conditionalFormatting sqref="H59">
    <cfRule type="cellIs" dxfId="21" priority="5" operator="equal">
      <formula>0</formula>
    </cfRule>
  </conditionalFormatting>
  <conditionalFormatting sqref="H67">
    <cfRule type="cellIs" dxfId="20" priority="4" operator="equal">
      <formula>0</formula>
    </cfRule>
  </conditionalFormatting>
  <conditionalFormatting sqref="H64:H66">
    <cfRule type="cellIs" dxfId="19" priority="3" operator="equal">
      <formula>0</formula>
    </cfRule>
  </conditionalFormatting>
  <conditionalFormatting sqref="H68">
    <cfRule type="cellIs" dxfId="18" priority="1" operator="equal">
      <formula>0</formula>
    </cfRule>
  </conditionalFormatting>
  <dataValidations count="4">
    <dataValidation type="decimal" operator="greaterThanOrEqual" allowBlank="1" showInputMessage="1" showErrorMessage="1" sqref="D36:D45 D10:D24 F10:F24 B10:B24 F36:F45" xr:uid="{00000000-0002-0000-0000-000000000000}">
      <formula1>0</formula1>
    </dataValidation>
    <dataValidation type="whole" allowBlank="1" showInputMessage="1" showErrorMessage="1" sqref="H36:H45 H10:H24" xr:uid="{00000000-0002-0000-0000-000001000000}">
      <formula1>1</formula1>
      <formula2>12</formula2>
    </dataValidation>
    <dataValidation type="list" allowBlank="1" showInputMessage="1" showErrorMessage="1" sqref="E49:E58" xr:uid="{00000000-0002-0000-0000-000002000000}">
      <formula1>OuiNon</formula1>
    </dataValidation>
    <dataValidation type="decimal" operator="greaterThan" showInputMessage="1" showErrorMessage="1" sqref="B6 D5:D6" xr:uid="{00000000-0002-0000-0000-000003000000}">
      <formula1>0</formula1>
    </dataValidation>
  </dataValidations>
  <pageMargins left="0.51181102362204722" right="0.51181102362204722" top="0.74803149606299213" bottom="0.55118110236220474" header="0.31496062992125984" footer="0.31496062992125984"/>
  <pageSetup paperSize="9" scale="81" fitToHeight="0" orientation="landscape" horizontalDpi="4294967295" verticalDpi="4294967295" r:id="rId1"/>
  <headerFooter>
    <oddHeader xml:space="preserve">&amp;L&amp;G&amp;CProjection des recettes et dépenses&amp;REvaluation préliminaire 
de la viabilité financière </oddHeader>
  </headerFooter>
  <rowBreaks count="2" manualBreakCount="2">
    <brk id="24" max="16383" man="1"/>
    <brk id="45" max="16383" man="1"/>
  </rowBreak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4000000}">
          <x14:formula1>
            <xm:f>Tables!$A$10:$A$12</xm:f>
          </x14:formula1>
          <xm:sqref>G10:G24 G36:G45</xm:sqref>
        </x14:dataValidation>
        <x14:dataValidation type="list" showInputMessage="1" showErrorMessage="1" xr:uid="{00000000-0002-0000-0000-000005000000}">
          <x14:formula1>
            <xm:f>Tables!$A$2:$A$5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"/>
  <sheetViews>
    <sheetView topLeftCell="A2" zoomScaleNormal="100" workbookViewId="0">
      <selection activeCell="E2" sqref="E2"/>
    </sheetView>
  </sheetViews>
  <sheetFormatPr baseColWidth="10" defaultRowHeight="14.5" x14ac:dyDescent="0.35"/>
  <cols>
    <col min="1" max="1" width="40.7265625" customWidth="1"/>
    <col min="2" max="4" width="15.7265625" customWidth="1"/>
    <col min="5" max="5" width="12.36328125" bestFit="1" customWidth="1"/>
  </cols>
  <sheetData>
    <row r="1" spans="1:5" ht="93.5" customHeight="1" x14ac:dyDescent="0.35">
      <c r="A1" s="71" t="s">
        <v>131</v>
      </c>
      <c r="B1" s="72"/>
      <c r="C1" s="72"/>
      <c r="D1" s="72"/>
    </row>
    <row r="2" spans="1:5" ht="15.5" customHeight="1" x14ac:dyDescent="0.45">
      <c r="A2" s="24" t="s">
        <v>39</v>
      </c>
      <c r="B2" s="73" t="s">
        <v>40</v>
      </c>
      <c r="C2" s="74"/>
      <c r="D2" s="75"/>
      <c r="E2" s="2"/>
    </row>
    <row r="3" spans="1:5" ht="15.5" x14ac:dyDescent="0.35">
      <c r="A3" s="10" t="s">
        <v>9</v>
      </c>
      <c r="B3" s="11" t="s">
        <v>21</v>
      </c>
      <c r="C3" s="11" t="s">
        <v>22</v>
      </c>
      <c r="D3" s="11" t="s">
        <v>23</v>
      </c>
    </row>
    <row r="4" spans="1:5" ht="15.5" x14ac:dyDescent="0.45">
      <c r="A4" s="18" t="str">
        <f xml:space="preserve"> IF('Produits et services'!A10="","",'Produits et services'!A10)</f>
        <v>Exemple: journée de formation</v>
      </c>
      <c r="B4" s="25">
        <f>D4/12</f>
        <v>9000</v>
      </c>
      <c r="C4" s="25">
        <f>D4/4</f>
        <v>27000</v>
      </c>
      <c r="D4" s="25">
        <f>IF('Produits et services'!A10="",0,IF('Produits et services'!G10="An",1*'Produits et services'!F10*'Produits et services'!B10,IF('Produits et services'!G10="Mois",12,52)*'Produits et services'!F10*'Produits et services'!B10*('Produits et services'!H10/12)))</f>
        <v>108000</v>
      </c>
    </row>
    <row r="5" spans="1:5" ht="15.5" x14ac:dyDescent="0.45">
      <c r="A5" s="18" t="str">
        <f xml:space="preserve"> IF('Produits et services'!A11="","",'Produits et services'!A11)</f>
        <v>Exemple: cours de 5 jours (10 personnes)</v>
      </c>
      <c r="B5" s="25">
        <f>D5/12</f>
        <v>13333.333333333334</v>
      </c>
      <c r="C5" s="25">
        <f>D5/4</f>
        <v>40000</v>
      </c>
      <c r="D5" s="25">
        <f>IF('Produits et services'!A11="",0,IF('Produits et services'!G11="An",1*'Produits et services'!F11*'Produits et services'!B11,IF('Produits et services'!G11="Mois",12,52)*'Produits et services'!F11*'Produits et services'!B11*('Produits et services'!H11/12)))</f>
        <v>160000</v>
      </c>
    </row>
    <row r="6" spans="1:5" ht="15.5" x14ac:dyDescent="0.45">
      <c r="A6" s="18" t="str">
        <f xml:space="preserve"> IF('Produits et services'!A12="","",'Produits et services'!A12)</f>
        <v>Exemple: animation d'AG</v>
      </c>
      <c r="B6" s="25">
        <f t="shared" ref="B6:B18" si="0">D6/12</f>
        <v>333.33333333333331</v>
      </c>
      <c r="C6" s="25">
        <f t="shared" ref="C6:C18" si="1">D6/4</f>
        <v>1000</v>
      </c>
      <c r="D6" s="25">
        <f>IF('Produits et services'!A12="",0,IF('Produits et services'!G12="An",1*'Produits et services'!F12*'Produits et services'!B12,IF('Produits et services'!G12="Mois",12,52)*'Produits et services'!F12*'Produits et services'!B12*('Produits et services'!H12/12)))</f>
        <v>4000</v>
      </c>
    </row>
    <row r="7" spans="1:5" ht="15.5" x14ac:dyDescent="0.45">
      <c r="A7" s="18" t="str">
        <f xml:space="preserve"> IF('Produits et services'!A13="","",'Produits et services'!A13)</f>
        <v>Exemple: World café</v>
      </c>
      <c r="B7" s="25">
        <f t="shared" si="0"/>
        <v>150</v>
      </c>
      <c r="C7" s="25">
        <f t="shared" si="1"/>
        <v>450</v>
      </c>
      <c r="D7" s="25">
        <f>IF('Produits et services'!A13="",0,IF('Produits et services'!G13="An",1*'Produits et services'!F13*'Produits et services'!B13,IF('Produits et services'!G13="Mois",12,52)*'Produits et services'!F13*'Produits et services'!B13*('Produits et services'!H13/12)))</f>
        <v>1800</v>
      </c>
    </row>
    <row r="8" spans="1:5" ht="15.5" x14ac:dyDescent="0.45">
      <c r="A8" s="18" t="str">
        <f xml:space="preserve"> IF('Produits et services'!A14="","",'Produits et services'!A14)</f>
        <v/>
      </c>
      <c r="B8" s="25">
        <f t="shared" si="0"/>
        <v>0</v>
      </c>
      <c r="C8" s="25">
        <f t="shared" si="1"/>
        <v>0</v>
      </c>
      <c r="D8" s="25">
        <f>IF('Produits et services'!A14="",0,IF('Produits et services'!G14="An",1*'Produits et services'!F14*'Produits et services'!B14,IF('Produits et services'!G14="Mois",12,52)*'Produits et services'!F14*'Produits et services'!B14*('Produits et services'!H14/12)))</f>
        <v>0</v>
      </c>
    </row>
    <row r="9" spans="1:5" ht="15.5" x14ac:dyDescent="0.45">
      <c r="A9" s="18" t="str">
        <f xml:space="preserve"> IF('Produits et services'!A15="","",'Produits et services'!A15)</f>
        <v/>
      </c>
      <c r="B9" s="25">
        <f t="shared" si="0"/>
        <v>0</v>
      </c>
      <c r="C9" s="25">
        <f t="shared" si="1"/>
        <v>0</v>
      </c>
      <c r="D9" s="25">
        <f>IF('Produits et services'!A15="",0,IF('Produits et services'!G15="An",1*'Produits et services'!F15*'Produits et services'!B15,IF('Produits et services'!G15="Mois",12,52)*'Produits et services'!F15*'Produits et services'!B15*('Produits et services'!H15/12)))</f>
        <v>0</v>
      </c>
    </row>
    <row r="10" spans="1:5" ht="15.5" x14ac:dyDescent="0.45">
      <c r="A10" s="18" t="str">
        <f xml:space="preserve"> IF('Produits et services'!A16="","",'Produits et services'!A16)</f>
        <v/>
      </c>
      <c r="B10" s="25">
        <f t="shared" si="0"/>
        <v>0</v>
      </c>
      <c r="C10" s="25">
        <f t="shared" si="1"/>
        <v>0</v>
      </c>
      <c r="D10" s="25">
        <f>IF('Produits et services'!A16="",0,IF('Produits et services'!G16="An",1*'Produits et services'!F16*'Produits et services'!B16,IF('Produits et services'!G16="Mois",12,52)*'Produits et services'!F16*'Produits et services'!B16*('Produits et services'!H16/12)))</f>
        <v>0</v>
      </c>
    </row>
    <row r="11" spans="1:5" ht="15.5" x14ac:dyDescent="0.45">
      <c r="A11" s="18" t="str">
        <f xml:space="preserve"> IF('Produits et services'!A17="","",'Produits et services'!A17)</f>
        <v/>
      </c>
      <c r="B11" s="25">
        <f t="shared" si="0"/>
        <v>0</v>
      </c>
      <c r="C11" s="25">
        <f t="shared" si="1"/>
        <v>0</v>
      </c>
      <c r="D11" s="25">
        <f>IF('Produits et services'!A17="",0,IF('Produits et services'!G17="An",1*'Produits et services'!F17*'Produits et services'!B17,IF('Produits et services'!G17="Mois",12,52)*'Produits et services'!F17*'Produits et services'!B17*('Produits et services'!H17/12)))</f>
        <v>0</v>
      </c>
    </row>
    <row r="12" spans="1:5" ht="15.5" x14ac:dyDescent="0.45">
      <c r="A12" s="18" t="str">
        <f xml:space="preserve"> IF('Produits et services'!A18="","",'Produits et services'!A18)</f>
        <v/>
      </c>
      <c r="B12" s="25">
        <f t="shared" si="0"/>
        <v>0</v>
      </c>
      <c r="C12" s="25">
        <f t="shared" si="1"/>
        <v>0</v>
      </c>
      <c r="D12" s="25">
        <f>IF('Produits et services'!A18="",0,IF('Produits et services'!G18="An",1*'Produits et services'!F18*'Produits et services'!B18,IF('Produits et services'!G18="Mois",12,52)*'Produits et services'!F18*'Produits et services'!B18*('Produits et services'!H18/12)))</f>
        <v>0</v>
      </c>
    </row>
    <row r="13" spans="1:5" ht="15.5" x14ac:dyDescent="0.45">
      <c r="A13" s="18" t="str">
        <f xml:space="preserve"> IF('Produits et services'!A19="","",'Produits et services'!A19)</f>
        <v/>
      </c>
      <c r="B13" s="25">
        <f t="shared" si="0"/>
        <v>0</v>
      </c>
      <c r="C13" s="25">
        <f t="shared" si="1"/>
        <v>0</v>
      </c>
      <c r="D13" s="25">
        <f>IF('Produits et services'!A19="",0,IF('Produits et services'!G19="An",1*'Produits et services'!F19*'Produits et services'!B19,IF('Produits et services'!G19="Mois",12,52)*'Produits et services'!F19*'Produits et services'!B19*('Produits et services'!H19/12)))</f>
        <v>0</v>
      </c>
    </row>
    <row r="14" spans="1:5" ht="15.5" x14ac:dyDescent="0.45">
      <c r="A14" s="18" t="str">
        <f xml:space="preserve"> IF('Produits et services'!A20="","",'Produits et services'!A20)</f>
        <v/>
      </c>
      <c r="B14" s="25">
        <f t="shared" si="0"/>
        <v>0</v>
      </c>
      <c r="C14" s="25">
        <f t="shared" si="1"/>
        <v>0</v>
      </c>
      <c r="D14" s="25">
        <f>IF('Produits et services'!A20="",0,IF('Produits et services'!G20="An",1*'Produits et services'!F20*'Produits et services'!B20,IF('Produits et services'!G20="Mois",12,52)*'Produits et services'!F20*'Produits et services'!B20*('Produits et services'!H20/12)))</f>
        <v>0</v>
      </c>
    </row>
    <row r="15" spans="1:5" ht="15.5" x14ac:dyDescent="0.45">
      <c r="A15" s="18" t="str">
        <f xml:space="preserve"> IF('Produits et services'!A21="","",'Produits et services'!A21)</f>
        <v/>
      </c>
      <c r="B15" s="25">
        <f t="shared" si="0"/>
        <v>0</v>
      </c>
      <c r="C15" s="25">
        <f t="shared" si="1"/>
        <v>0</v>
      </c>
      <c r="D15" s="25">
        <f>IF('Produits et services'!A21="",0,IF('Produits et services'!G21="An",1*'Produits et services'!F21*'Produits et services'!B21,IF('Produits et services'!G21="Mois",12,52)*'Produits et services'!F21*'Produits et services'!B21*('Produits et services'!H21/12)))</f>
        <v>0</v>
      </c>
    </row>
    <row r="16" spans="1:5" ht="15.5" x14ac:dyDescent="0.45">
      <c r="A16" s="18" t="str">
        <f xml:space="preserve"> IF('Produits et services'!A22="","",'Produits et services'!A22)</f>
        <v/>
      </c>
      <c r="B16" s="25">
        <f t="shared" si="0"/>
        <v>0</v>
      </c>
      <c r="C16" s="25">
        <f t="shared" si="1"/>
        <v>0</v>
      </c>
      <c r="D16" s="25">
        <f>IF('Produits et services'!A22="",0,IF('Produits et services'!G22="An",1*'Produits et services'!F22*'Produits et services'!B22,IF('Produits et services'!G22="Mois",12,52)*'Produits et services'!F22*'Produits et services'!B22*('Produits et services'!H22/12)))</f>
        <v>0</v>
      </c>
    </row>
    <row r="17" spans="1:5" ht="15.5" x14ac:dyDescent="0.45">
      <c r="A17" s="18" t="str">
        <f xml:space="preserve"> IF('Produits et services'!A23="","",'Produits et services'!A23)</f>
        <v/>
      </c>
      <c r="B17" s="25">
        <f t="shared" si="0"/>
        <v>0</v>
      </c>
      <c r="C17" s="25">
        <f t="shared" si="1"/>
        <v>0</v>
      </c>
      <c r="D17" s="25">
        <f>IF('Produits et services'!A23="",0,IF('Produits et services'!G23="An",1*'Produits et services'!F23*'Produits et services'!B23,IF('Produits et services'!G23="Mois",12,52)*'Produits et services'!F23*'Produits et services'!B23*('Produits et services'!H23/12)))</f>
        <v>0</v>
      </c>
    </row>
    <row r="18" spans="1:5" ht="15.5" x14ac:dyDescent="0.45">
      <c r="A18" s="18" t="str">
        <f xml:space="preserve"> IF('Produits et services'!A24="","",'Produits et services'!A24)</f>
        <v/>
      </c>
      <c r="B18" s="25">
        <f t="shared" si="0"/>
        <v>0</v>
      </c>
      <c r="C18" s="25">
        <f t="shared" si="1"/>
        <v>0</v>
      </c>
      <c r="D18" s="25">
        <f>IF('Produits et services'!A24="",0,IF('Produits et services'!G24="An",1*'Produits et services'!F24*'Produits et services'!B24,IF('Produits et services'!G24="Mois",12,52)*'Produits et services'!F24*'Produits et services'!B24*('Produits et services'!H24/12)))</f>
        <v>0</v>
      </c>
    </row>
    <row r="19" spans="1:5" ht="15.5" x14ac:dyDescent="0.45">
      <c r="A19" s="43" t="s">
        <v>24</v>
      </c>
      <c r="B19" s="44">
        <f t="shared" ref="B19:C19" si="2">SUM(B4:B18)</f>
        <v>22816.666666666668</v>
      </c>
      <c r="C19" s="44">
        <f t="shared" si="2"/>
        <v>68450</v>
      </c>
      <c r="D19" s="44">
        <f>SUM(D4:D18)</f>
        <v>273800</v>
      </c>
      <c r="E19" s="1"/>
    </row>
    <row r="20" spans="1:5" ht="15.5" x14ac:dyDescent="0.45">
      <c r="A20" s="5"/>
      <c r="B20" s="5"/>
      <c r="C20" s="5"/>
      <c r="D20" s="5"/>
    </row>
    <row r="21" spans="1:5" ht="15.5" x14ac:dyDescent="0.35">
      <c r="A21" s="26" t="s">
        <v>81</v>
      </c>
      <c r="B21" s="73"/>
      <c r="C21" s="74"/>
      <c r="D21" s="75"/>
    </row>
    <row r="22" spans="1:5" ht="15.5" x14ac:dyDescent="0.35">
      <c r="A22" s="10" t="s">
        <v>80</v>
      </c>
      <c r="B22" s="11" t="s">
        <v>21</v>
      </c>
      <c r="C22" s="11" t="s">
        <v>22</v>
      </c>
      <c r="D22" s="11" t="s">
        <v>23</v>
      </c>
    </row>
    <row r="23" spans="1:5" ht="15.5" x14ac:dyDescent="0.45">
      <c r="A23" s="18" t="str">
        <f xml:space="preserve"> IF('Produits et services'!A28="","",'Produits et services'!A28)</f>
        <v>Exemple: Loterie romande</v>
      </c>
      <c r="B23" s="27">
        <f t="shared" ref="B23:B27" si="3">D23/12</f>
        <v>833.33333333333337</v>
      </c>
      <c r="C23" s="27">
        <f t="shared" ref="C23:C27" si="4">D23/4</f>
        <v>2500</v>
      </c>
      <c r="D23" s="27">
        <f>'Produits et services'!B28</f>
        <v>10000</v>
      </c>
    </row>
    <row r="24" spans="1:5" ht="15.5" x14ac:dyDescent="0.45">
      <c r="A24" s="18" t="str">
        <f xml:space="preserve"> IF('Produits et services'!A29="","",'Produits et services'!A29)</f>
        <v>Exemple: Prix action climatique</v>
      </c>
      <c r="B24" s="27">
        <f t="shared" si="3"/>
        <v>1250</v>
      </c>
      <c r="C24" s="27">
        <f t="shared" si="4"/>
        <v>3750</v>
      </c>
      <c r="D24" s="27">
        <f>'Produits et services'!B29</f>
        <v>15000</v>
      </c>
    </row>
    <row r="25" spans="1:5" ht="15.5" x14ac:dyDescent="0.45">
      <c r="A25" s="18" t="str">
        <f xml:space="preserve"> IF('Produits et services'!A30="","",'Produits et services'!A30)</f>
        <v/>
      </c>
      <c r="B25" s="27">
        <f t="shared" si="3"/>
        <v>0</v>
      </c>
      <c r="C25" s="27">
        <f t="shared" si="4"/>
        <v>0</v>
      </c>
      <c r="D25" s="27">
        <f>'Produits et services'!B30</f>
        <v>0</v>
      </c>
    </row>
    <row r="26" spans="1:5" ht="15.5" x14ac:dyDescent="0.45">
      <c r="A26" s="18" t="str">
        <f xml:space="preserve"> IF('Produits et services'!A31="","",'Produits et services'!A31)</f>
        <v/>
      </c>
      <c r="B26" s="27">
        <f t="shared" si="3"/>
        <v>0</v>
      </c>
      <c r="C26" s="27">
        <f t="shared" si="4"/>
        <v>0</v>
      </c>
      <c r="D26" s="27">
        <f>'Produits et services'!B31</f>
        <v>0</v>
      </c>
    </row>
    <row r="27" spans="1:5" ht="15.5" x14ac:dyDescent="0.45">
      <c r="A27" s="18" t="str">
        <f xml:space="preserve"> IF('Produits et services'!A32="","",'Produits et services'!A32)</f>
        <v/>
      </c>
      <c r="B27" s="27">
        <f t="shared" si="3"/>
        <v>0</v>
      </c>
      <c r="C27" s="27">
        <f t="shared" si="4"/>
        <v>0</v>
      </c>
      <c r="D27" s="27">
        <f>'Produits et services'!B32</f>
        <v>0</v>
      </c>
    </row>
    <row r="28" spans="1:5" ht="15.5" x14ac:dyDescent="0.45">
      <c r="A28" s="43" t="s">
        <v>24</v>
      </c>
      <c r="B28" s="44">
        <f>SUM(B23:B27)</f>
        <v>2083.3333333333335</v>
      </c>
      <c r="C28" s="44">
        <f>SUM(C23:C27)</f>
        <v>6250</v>
      </c>
      <c r="D28" s="44">
        <f>SUM(D23:D27)</f>
        <v>25000</v>
      </c>
    </row>
    <row r="29" spans="1:5" ht="15.5" x14ac:dyDescent="0.45">
      <c r="A29" s="5"/>
      <c r="B29" s="5"/>
      <c r="C29" s="5"/>
      <c r="D29" s="5"/>
    </row>
    <row r="30" spans="1:5" ht="15.5" customHeight="1" x14ac:dyDescent="0.45">
      <c r="A30" s="24" t="s">
        <v>25</v>
      </c>
      <c r="B30" s="73" t="s">
        <v>41</v>
      </c>
      <c r="C30" s="74"/>
      <c r="D30" s="75"/>
    </row>
    <row r="31" spans="1:5" ht="15.5" x14ac:dyDescent="0.35">
      <c r="A31" s="10" t="s">
        <v>9</v>
      </c>
      <c r="B31" s="11" t="s">
        <v>21</v>
      </c>
      <c r="C31" s="11" t="s">
        <v>22</v>
      </c>
      <c r="D31" s="11" t="s">
        <v>23</v>
      </c>
    </row>
    <row r="32" spans="1:5" ht="15.5" x14ac:dyDescent="0.45">
      <c r="A32" s="18" t="str">
        <f xml:space="preserve"> IF('Produits et services'!A10="","",'Produits et services'!A10)</f>
        <v>Exemple: journée de formation</v>
      </c>
      <c r="B32" s="25">
        <f>D32/12</f>
        <v>375</v>
      </c>
      <c r="C32" s="25">
        <f>D32/4</f>
        <v>1125</v>
      </c>
      <c r="D32" s="25">
        <f>IF('Produits et services'!A10="",0,IF('Produits et services'!G10="An",1*'Produits et services'!F10*'Produits et services'!D10,IF('Produits et services'!G10="Mois",12,52)*'Produits et services'!F10*'Produits et services'!D10*('Produits et services'!H10/12)))</f>
        <v>4500</v>
      </c>
    </row>
    <row r="33" spans="1:5" ht="15.5" x14ac:dyDescent="0.45">
      <c r="A33" s="18" t="str">
        <f xml:space="preserve"> IF('Produits et services'!A11="","",'Produits et services'!A11)</f>
        <v>Exemple: cours de 5 jours (10 personnes)</v>
      </c>
      <c r="B33" s="25">
        <f t="shared" ref="B33:B46" si="5">D33/12</f>
        <v>333.33333333333331</v>
      </c>
      <c r="C33" s="25">
        <f t="shared" ref="C33:C46" si="6">D33/4</f>
        <v>1000</v>
      </c>
      <c r="D33" s="25">
        <f>IF('Produits et services'!A11="",0,IF('Produits et services'!G11="An",1*'Produits et services'!F11*'Produits et services'!D11,IF('Produits et services'!G11="Mois",12,52)*'Produits et services'!F11*'Produits et services'!D11*('Produits et services'!H11/12)))</f>
        <v>4000</v>
      </c>
    </row>
    <row r="34" spans="1:5" ht="15.5" x14ac:dyDescent="0.45">
      <c r="A34" s="18" t="str">
        <f xml:space="preserve"> IF('Produits et services'!A12="","",'Produits et services'!A12)</f>
        <v>Exemple: animation d'AG</v>
      </c>
      <c r="B34" s="25">
        <f t="shared" si="5"/>
        <v>33.333333333333336</v>
      </c>
      <c r="C34" s="25">
        <f t="shared" si="6"/>
        <v>100</v>
      </c>
      <c r="D34" s="25">
        <f>IF('Produits et services'!A12="",0,IF('Produits et services'!G12="An",1*'Produits et services'!F12*'Produits et services'!D12,IF('Produits et services'!G12="Mois",12,52)*'Produits et services'!F12*'Produits et services'!D12*('Produits et services'!H12/12)))</f>
        <v>400</v>
      </c>
    </row>
    <row r="35" spans="1:5" ht="15.5" x14ac:dyDescent="0.45">
      <c r="A35" s="18" t="str">
        <f xml:space="preserve"> IF('Produits et services'!A13="","",'Produits et services'!A13)</f>
        <v>Exemple: World café</v>
      </c>
      <c r="B35" s="25">
        <f t="shared" si="5"/>
        <v>12.5</v>
      </c>
      <c r="C35" s="25">
        <f t="shared" si="6"/>
        <v>37.5</v>
      </c>
      <c r="D35" s="25">
        <f>IF('Produits et services'!A13="",0,IF('Produits et services'!G13="An",1*'Produits et services'!F13*'Produits et services'!D13,IF('Produits et services'!G13="Mois",12,52)*'Produits et services'!F13*'Produits et services'!D13*('Produits et services'!H13/12)))</f>
        <v>150</v>
      </c>
    </row>
    <row r="36" spans="1:5" ht="15.5" x14ac:dyDescent="0.45">
      <c r="A36" s="18" t="str">
        <f xml:space="preserve"> IF('Produits et services'!A14="","",'Produits et services'!A14)</f>
        <v/>
      </c>
      <c r="B36" s="25">
        <f t="shared" si="5"/>
        <v>0</v>
      </c>
      <c r="C36" s="25">
        <f t="shared" si="6"/>
        <v>0</v>
      </c>
      <c r="D36" s="25">
        <f>IF('Produits et services'!A14="",0,IF('Produits et services'!G14="An",1*'Produits et services'!F14*'Produits et services'!D14,IF('Produits et services'!G14="Mois",12,52)*'Produits et services'!F14*'Produits et services'!D14*('Produits et services'!H14/12)))</f>
        <v>0</v>
      </c>
    </row>
    <row r="37" spans="1:5" ht="15.5" x14ac:dyDescent="0.45">
      <c r="A37" s="18" t="str">
        <f xml:space="preserve"> IF('Produits et services'!A15="","",'Produits et services'!A15)</f>
        <v/>
      </c>
      <c r="B37" s="25">
        <f t="shared" si="5"/>
        <v>0</v>
      </c>
      <c r="C37" s="25">
        <f t="shared" si="6"/>
        <v>0</v>
      </c>
      <c r="D37" s="25">
        <f>IF('Produits et services'!A15="",0,IF('Produits et services'!G15="An",1*'Produits et services'!F15*'Produits et services'!D15,IF('Produits et services'!G15="Mois",12,52)*'Produits et services'!F15*'Produits et services'!D15*('Produits et services'!H15/12)))</f>
        <v>0</v>
      </c>
    </row>
    <row r="38" spans="1:5" ht="15.5" x14ac:dyDescent="0.45">
      <c r="A38" s="18" t="str">
        <f xml:space="preserve"> IF('Produits et services'!A16="","",'Produits et services'!A16)</f>
        <v/>
      </c>
      <c r="B38" s="25">
        <f t="shared" si="5"/>
        <v>0</v>
      </c>
      <c r="C38" s="25">
        <f t="shared" si="6"/>
        <v>0</v>
      </c>
      <c r="D38" s="25">
        <f>IF('Produits et services'!A16="",0,IF('Produits et services'!G16="An",1*'Produits et services'!F16*'Produits et services'!D16,IF('Produits et services'!G16="Mois",12,52)*'Produits et services'!F16*'Produits et services'!D16*('Produits et services'!H16/12)))</f>
        <v>0</v>
      </c>
    </row>
    <row r="39" spans="1:5" ht="15.5" x14ac:dyDescent="0.45">
      <c r="A39" s="18" t="str">
        <f xml:space="preserve"> IF('Produits et services'!A17="","",'Produits et services'!A17)</f>
        <v/>
      </c>
      <c r="B39" s="25">
        <f t="shared" si="5"/>
        <v>0</v>
      </c>
      <c r="C39" s="25">
        <f t="shared" si="6"/>
        <v>0</v>
      </c>
      <c r="D39" s="25">
        <f>IF('Produits et services'!A17="",0,IF('Produits et services'!G17="An",1*'Produits et services'!F17*'Produits et services'!D17,IF('Produits et services'!G17="Mois",12,52)*'Produits et services'!F17*'Produits et services'!D17*('Produits et services'!H17/12)))</f>
        <v>0</v>
      </c>
    </row>
    <row r="40" spans="1:5" ht="15.5" x14ac:dyDescent="0.45">
      <c r="A40" s="18" t="str">
        <f xml:space="preserve"> IF('Produits et services'!A18="","",'Produits et services'!A18)</f>
        <v/>
      </c>
      <c r="B40" s="25">
        <f t="shared" si="5"/>
        <v>0</v>
      </c>
      <c r="C40" s="25">
        <f t="shared" si="6"/>
        <v>0</v>
      </c>
      <c r="D40" s="25">
        <f>IF('Produits et services'!A18="",0,IF('Produits et services'!G18="An",1*'Produits et services'!F18*'Produits et services'!D18,IF('Produits et services'!G18="Mois",12,52)*'Produits et services'!F18*'Produits et services'!D18*('Produits et services'!H18/12)))</f>
        <v>0</v>
      </c>
    </row>
    <row r="41" spans="1:5" ht="15.5" x14ac:dyDescent="0.45">
      <c r="A41" s="18" t="str">
        <f xml:space="preserve"> IF('Produits et services'!A19="","",'Produits et services'!A19)</f>
        <v/>
      </c>
      <c r="B41" s="25">
        <f t="shared" si="5"/>
        <v>0</v>
      </c>
      <c r="C41" s="25">
        <f t="shared" si="6"/>
        <v>0</v>
      </c>
      <c r="D41" s="25">
        <f>IF('Produits et services'!A19="",0,IF('Produits et services'!G19="An",1*'Produits et services'!F19*'Produits et services'!D19,IF('Produits et services'!G19="Mois",12,52)*'Produits et services'!F19*'Produits et services'!D19*('Produits et services'!H19/12)))</f>
        <v>0</v>
      </c>
    </row>
    <row r="42" spans="1:5" ht="15.5" x14ac:dyDescent="0.45">
      <c r="A42" s="18" t="str">
        <f xml:space="preserve"> IF('Produits et services'!A20="","",'Produits et services'!A20)</f>
        <v/>
      </c>
      <c r="B42" s="25">
        <f t="shared" si="5"/>
        <v>0</v>
      </c>
      <c r="C42" s="25">
        <f t="shared" si="6"/>
        <v>0</v>
      </c>
      <c r="D42" s="25">
        <f>IF('Produits et services'!A20="",0,IF('Produits et services'!G20="An",1*'Produits et services'!F20*'Produits et services'!D20,IF('Produits et services'!G20="Mois",12,52)*'Produits et services'!F20*'Produits et services'!D20*('Produits et services'!H20/12)))</f>
        <v>0</v>
      </c>
    </row>
    <row r="43" spans="1:5" ht="15.5" x14ac:dyDescent="0.45">
      <c r="A43" s="18" t="str">
        <f xml:space="preserve"> IF('Produits et services'!A21="","",'Produits et services'!A21)</f>
        <v/>
      </c>
      <c r="B43" s="25">
        <f t="shared" si="5"/>
        <v>0</v>
      </c>
      <c r="C43" s="25">
        <f t="shared" si="6"/>
        <v>0</v>
      </c>
      <c r="D43" s="25">
        <f>IF('Produits et services'!A21="",0,IF('Produits et services'!G21="An",1*'Produits et services'!F21*'Produits et services'!D21,IF('Produits et services'!G21="Mois",12,52)*'Produits et services'!F21*'Produits et services'!D21*('Produits et services'!H21/12)))</f>
        <v>0</v>
      </c>
    </row>
    <row r="44" spans="1:5" ht="15.5" x14ac:dyDescent="0.45">
      <c r="A44" s="18" t="str">
        <f xml:space="preserve"> IF('Produits et services'!A22="","",'Produits et services'!A22)</f>
        <v/>
      </c>
      <c r="B44" s="25">
        <f t="shared" si="5"/>
        <v>0</v>
      </c>
      <c r="C44" s="25">
        <f t="shared" si="6"/>
        <v>0</v>
      </c>
      <c r="D44" s="25">
        <f>IF('Produits et services'!A22="",0,IF('Produits et services'!G22="An",1*'Produits et services'!F22*'Produits et services'!D22,IF('Produits et services'!G22="Mois",12,52)*'Produits et services'!F22*'Produits et services'!D22*('Produits et services'!H22/12)))</f>
        <v>0</v>
      </c>
    </row>
    <row r="45" spans="1:5" ht="15.5" x14ac:dyDescent="0.45">
      <c r="A45" s="18" t="str">
        <f xml:space="preserve"> IF('Produits et services'!A23="","",'Produits et services'!A23)</f>
        <v/>
      </c>
      <c r="B45" s="25">
        <f t="shared" si="5"/>
        <v>0</v>
      </c>
      <c r="C45" s="25">
        <f t="shared" si="6"/>
        <v>0</v>
      </c>
      <c r="D45" s="25">
        <f>IF('Produits et services'!A23="",0,IF('Produits et services'!G23="An",1*'Produits et services'!F23*'Produits et services'!D23,IF('Produits et services'!G23="Mois",12,52)*'Produits et services'!F23*'Produits et services'!D23*('Produits et services'!H23/12)))</f>
        <v>0</v>
      </c>
    </row>
    <row r="46" spans="1:5" ht="15.5" x14ac:dyDescent="0.45">
      <c r="A46" s="18" t="str">
        <f xml:space="preserve"> IF('Produits et services'!A24="","",'Produits et services'!A24)</f>
        <v/>
      </c>
      <c r="B46" s="25">
        <f t="shared" si="5"/>
        <v>0</v>
      </c>
      <c r="C46" s="25">
        <f t="shared" si="6"/>
        <v>0</v>
      </c>
      <c r="D46" s="25">
        <f>IF('Produits et services'!A24="",0,IF('Produits et services'!G24="An",1*'Produits et services'!F24*'Produits et services'!D24,IF('Produits et services'!G24="Mois",12,52)*'Produits et services'!F24*'Produits et services'!D24*('Produits et services'!H24/12)))</f>
        <v>0</v>
      </c>
    </row>
    <row r="47" spans="1:5" ht="15.5" x14ac:dyDescent="0.45">
      <c r="A47" s="18" t="s">
        <v>17</v>
      </c>
      <c r="B47" s="25">
        <f>B19*'Produits et services'!$B$6</f>
        <v>1140.8333333333335</v>
      </c>
      <c r="C47" s="25">
        <f>C19*'Produits et services'!$B$6</f>
        <v>3422.5</v>
      </c>
      <c r="D47" s="25">
        <f>D19*'Produits et services'!$B$6</f>
        <v>13690</v>
      </c>
    </row>
    <row r="48" spans="1:5" ht="15.5" x14ac:dyDescent="0.45">
      <c r="A48" s="43" t="s">
        <v>24</v>
      </c>
      <c r="B48" s="44">
        <f>SUM(B32:B47)</f>
        <v>1895</v>
      </c>
      <c r="C48" s="44">
        <f>SUM(C32:C47)</f>
        <v>5685</v>
      </c>
      <c r="D48" s="44">
        <f>SUM(D32:D47)</f>
        <v>22740</v>
      </c>
      <c r="E48" s="1"/>
    </row>
    <row r="49" spans="1:4" ht="15.5" x14ac:dyDescent="0.45">
      <c r="A49" s="5"/>
      <c r="B49" s="5"/>
      <c r="C49" s="5"/>
      <c r="D49" s="5"/>
    </row>
    <row r="50" spans="1:4" ht="15.5" x14ac:dyDescent="0.45">
      <c r="A50" s="28" t="s">
        <v>42</v>
      </c>
      <c r="B50" s="73" t="s">
        <v>26</v>
      </c>
      <c r="C50" s="74"/>
      <c r="D50" s="75"/>
    </row>
    <row r="51" spans="1:4" ht="15.5" x14ac:dyDescent="0.35">
      <c r="A51" s="10" t="s">
        <v>9</v>
      </c>
      <c r="B51" s="11" t="s">
        <v>21</v>
      </c>
      <c r="C51" s="11" t="s">
        <v>22</v>
      </c>
      <c r="D51" s="11" t="s">
        <v>23</v>
      </c>
    </row>
    <row r="52" spans="1:4" ht="15.5" x14ac:dyDescent="0.45">
      <c r="A52" s="29" t="str">
        <f xml:space="preserve"> IF('Produits et services'!A36="","",'Produits et services'!A36)</f>
        <v>Exemple: abonnement général CFF</v>
      </c>
      <c r="B52" s="30">
        <f>D52/12</f>
        <v>591.66666666666663</v>
      </c>
      <c r="C52" s="30">
        <f>D52/4</f>
        <v>1775</v>
      </c>
      <c r="D52" s="30">
        <f>IF('Produits et services'!A36="",0,IF('Produits et services'!G36="An",1*'Produits et services'!F36*'Produits et services'!D36,IF('Produits et services'!G36="Mois",12,52)*'Produits et services'!F36*'Produits et services'!D36*('Produits et services'!H36/12)))</f>
        <v>7100</v>
      </c>
    </row>
    <row r="53" spans="1:4" ht="15.5" x14ac:dyDescent="0.45">
      <c r="A53" s="29" t="str">
        <f xml:space="preserve"> IF('Produits et services'!A37="","",'Produits et services'!A37)</f>
        <v>Exemple: loyer bureau + salle de cours</v>
      </c>
      <c r="B53" s="30">
        <f t="shared" ref="B53:B61" si="7">D53/12</f>
        <v>1800</v>
      </c>
      <c r="C53" s="30">
        <f t="shared" ref="C53:C61" si="8">D53/4</f>
        <v>5400</v>
      </c>
      <c r="D53" s="30">
        <f>IF('Produits et services'!A37="",0,IF('Produits et services'!G37="An",1*'Produits et services'!F37*'Produits et services'!D37,IF('Produits et services'!G37="Mois",12,52)*'Produits et services'!F37*'Produits et services'!D37*('Produits et services'!H37/12)))</f>
        <v>21600</v>
      </c>
    </row>
    <row r="54" spans="1:4" ht="15.5" x14ac:dyDescent="0.45">
      <c r="A54" s="29" t="str">
        <f xml:space="preserve"> IF('Produits et services'!A38="","",'Produits et services'!A38)</f>
        <v>Exemple: frais divers</v>
      </c>
      <c r="B54" s="30">
        <f t="shared" si="7"/>
        <v>300</v>
      </c>
      <c r="C54" s="30">
        <f t="shared" si="8"/>
        <v>900</v>
      </c>
      <c r="D54" s="30">
        <f>IF('Produits et services'!A38="",0,IF('Produits et services'!G38="An",1*'Produits et services'!F38*'Produits et services'!D38,IF('Produits et services'!G38="Mois",12,52)*'Produits et services'!F38*'Produits et services'!D38*('Produits et services'!H38/12)))</f>
        <v>3600</v>
      </c>
    </row>
    <row r="55" spans="1:4" ht="15.5" x14ac:dyDescent="0.45">
      <c r="A55" s="29" t="str">
        <f xml:space="preserve"> IF('Produits et services'!A39="","",'Produits et services'!A39)</f>
        <v>Exemple: publicité facebook</v>
      </c>
      <c r="B55" s="30">
        <f t="shared" si="7"/>
        <v>173.33333333333334</v>
      </c>
      <c r="C55" s="30">
        <f t="shared" si="8"/>
        <v>520</v>
      </c>
      <c r="D55" s="30">
        <f>IF('Produits et services'!A39="",0,IF('Produits et services'!G39="An",1*'Produits et services'!F39*'Produits et services'!D39,IF('Produits et services'!G39="Mois",12,52)*'Produits et services'!F39*'Produits et services'!D39*('Produits et services'!H39/12)))</f>
        <v>2080</v>
      </c>
    </row>
    <row r="56" spans="1:4" ht="15.5" x14ac:dyDescent="0.45">
      <c r="A56" s="29" t="str">
        <f xml:space="preserve"> IF('Produits et services'!A40="","",'Produits et services'!A40)</f>
        <v/>
      </c>
      <c r="B56" s="30">
        <f t="shared" si="7"/>
        <v>0</v>
      </c>
      <c r="C56" s="30">
        <f t="shared" si="8"/>
        <v>0</v>
      </c>
      <c r="D56" s="30">
        <f>IF('Produits et services'!A40="",0,IF('Produits et services'!G40="An",1*'Produits et services'!F40*'Produits et services'!D40,IF('Produits et services'!G40="Mois",12,52)*'Produits et services'!F40*'Produits et services'!D40*('Produits et services'!H40/12)))</f>
        <v>0</v>
      </c>
    </row>
    <row r="57" spans="1:4" ht="15.5" x14ac:dyDescent="0.45">
      <c r="A57" s="29" t="str">
        <f xml:space="preserve"> IF('Produits et services'!A41="","",'Produits et services'!A41)</f>
        <v/>
      </c>
      <c r="B57" s="30">
        <f t="shared" si="7"/>
        <v>0</v>
      </c>
      <c r="C57" s="30">
        <f t="shared" si="8"/>
        <v>0</v>
      </c>
      <c r="D57" s="30">
        <f>IF('Produits et services'!A41="",0,IF('Produits et services'!G41="An",1*'Produits et services'!F41*'Produits et services'!D41,IF('Produits et services'!G41="Mois",12,52)*'Produits et services'!F41*'Produits et services'!D41*('Produits et services'!H41/12)))</f>
        <v>0</v>
      </c>
    </row>
    <row r="58" spans="1:4" ht="15.5" x14ac:dyDescent="0.45">
      <c r="A58" s="29" t="str">
        <f xml:space="preserve"> IF('Produits et services'!A42="","",'Produits et services'!A42)</f>
        <v/>
      </c>
      <c r="B58" s="30">
        <f t="shared" si="7"/>
        <v>0</v>
      </c>
      <c r="C58" s="30">
        <f t="shared" si="8"/>
        <v>0</v>
      </c>
      <c r="D58" s="30">
        <f>IF('Produits et services'!A42="",0,IF('Produits et services'!G42="An",1*'Produits et services'!F42*'Produits et services'!D42,IF('Produits et services'!G42="Mois",12,52)*'Produits et services'!F42*'Produits et services'!D42*('Produits et services'!H42/12)))</f>
        <v>0</v>
      </c>
    </row>
    <row r="59" spans="1:4" ht="15.5" x14ac:dyDescent="0.45">
      <c r="A59" s="29" t="str">
        <f xml:space="preserve"> IF('Produits et services'!A43="","",'Produits et services'!A43)</f>
        <v/>
      </c>
      <c r="B59" s="30">
        <f t="shared" si="7"/>
        <v>0</v>
      </c>
      <c r="C59" s="30">
        <f t="shared" si="8"/>
        <v>0</v>
      </c>
      <c r="D59" s="30">
        <f>IF('Produits et services'!A43="",0,IF('Produits et services'!G43="An",1*'Produits et services'!F43*'Produits et services'!D43,IF('Produits et services'!G43="Mois",12,52)*'Produits et services'!F43*'Produits et services'!D43*('Produits et services'!H43/12)))</f>
        <v>0</v>
      </c>
    </row>
    <row r="60" spans="1:4" ht="15.5" x14ac:dyDescent="0.45">
      <c r="A60" s="29" t="str">
        <f xml:space="preserve"> IF('Produits et services'!A44="","",'Produits et services'!A44)</f>
        <v/>
      </c>
      <c r="B60" s="30">
        <f t="shared" si="7"/>
        <v>0</v>
      </c>
      <c r="C60" s="30">
        <f t="shared" si="8"/>
        <v>0</v>
      </c>
      <c r="D60" s="30">
        <f>IF('Produits et services'!A44="",0,IF('Produits et services'!G44="An",1*'Produits et services'!F44*'Produits et services'!D44,IF('Produits et services'!G44="Mois",12,52)*'Produits et services'!F44*'Produits et services'!D44*('Produits et services'!H44/12)))</f>
        <v>0</v>
      </c>
    </row>
    <row r="61" spans="1:4" ht="15.5" x14ac:dyDescent="0.45">
      <c r="A61" s="29" t="str">
        <f xml:space="preserve"> IF('Produits et services'!A45="","",'Produits et services'!A45)</f>
        <v/>
      </c>
      <c r="B61" s="30">
        <f t="shared" si="7"/>
        <v>0</v>
      </c>
      <c r="C61" s="30">
        <f t="shared" si="8"/>
        <v>0</v>
      </c>
      <c r="D61" s="30">
        <f>IF('Produits et services'!A45="",0,IF('Produits et services'!G45="An",1*'Produits et services'!F45*'Produits et services'!D45,IF('Produits et services'!G45="Mois",12,52)*'Produits et services'!F45*'Produits et services'!D45*('Produits et services'!H45/12)))</f>
        <v>0</v>
      </c>
    </row>
    <row r="62" spans="1:4" ht="15.5" x14ac:dyDescent="0.45">
      <c r="A62" s="43" t="s">
        <v>24</v>
      </c>
      <c r="B62" s="44">
        <f t="shared" ref="B62:C62" si="9">SUM(B52:B61)</f>
        <v>2865</v>
      </c>
      <c r="C62" s="44">
        <f t="shared" si="9"/>
        <v>8595</v>
      </c>
      <c r="D62" s="44">
        <f>SUM(D52:D61)</f>
        <v>34380</v>
      </c>
    </row>
    <row r="63" spans="1:4" ht="15.5" x14ac:dyDescent="0.45">
      <c r="A63" s="5"/>
      <c r="B63" s="5"/>
      <c r="C63" s="5"/>
      <c r="D63" s="5"/>
    </row>
    <row r="64" spans="1:4" ht="15.5" x14ac:dyDescent="0.45">
      <c r="A64" s="28" t="s">
        <v>59</v>
      </c>
      <c r="B64" s="73" t="s">
        <v>26</v>
      </c>
      <c r="C64" s="74"/>
      <c r="D64" s="75"/>
    </row>
    <row r="65" spans="1:4" ht="15.5" x14ac:dyDescent="0.35">
      <c r="A65" s="10" t="s">
        <v>9</v>
      </c>
      <c r="B65" s="11" t="s">
        <v>21</v>
      </c>
      <c r="C65" s="11" t="s">
        <v>22</v>
      </c>
      <c r="D65" s="11" t="s">
        <v>23</v>
      </c>
    </row>
    <row r="66" spans="1:4" ht="15.5" x14ac:dyDescent="0.45">
      <c r="A66" s="29" t="str">
        <f xml:space="preserve"> IF('Produits et services'!A49="","",'Produits et services'!A49)</f>
        <v>Exemple: Coordinateur</v>
      </c>
      <c r="B66" s="30">
        <f>D66/12</f>
        <v>1055.9033333333334</v>
      </c>
      <c r="C66" s="30">
        <f>D66/4</f>
        <v>3167.71</v>
      </c>
      <c r="D66" s="30">
        <f>IF('Produits et services'!A49="",0,(IF('Produits et services'!E49="Oui",13,12)*'Produits et services'!D49*(1+'Produits et services'!$D$5)*'Produits et services'!F49)) * (1+'Produits et services'!D$5)</f>
        <v>12670.84</v>
      </c>
    </row>
    <row r="67" spans="1:4" ht="15.5" x14ac:dyDescent="0.45">
      <c r="A67" s="29" t="str">
        <f xml:space="preserve"> IF('Produits et services'!A50="","",'Produits et services'!A50)</f>
        <v>Exemple: Formateur</v>
      </c>
      <c r="B67" s="30">
        <f t="shared" ref="B67:B75" si="10">D67/12</f>
        <v>15687.706666666665</v>
      </c>
      <c r="C67" s="30">
        <f t="shared" ref="C67:C75" si="11">D67/4</f>
        <v>47063.119999999995</v>
      </c>
      <c r="D67" s="30">
        <f>IF('Produits et services'!A50="",0,(IF('Produits et services'!E50="Oui",13,12)*'Produits et services'!D50*(1+'Produits et services'!$D$5)*'Produits et services'!F50)) * (1+'Produits et services'!D$5)</f>
        <v>188252.47999999998</v>
      </c>
    </row>
    <row r="68" spans="1:4" ht="15.5" x14ac:dyDescent="0.45">
      <c r="A68" s="29" t="str">
        <f xml:space="preserve"> IF('Produits et services'!A51="","",'Produits et services'!A51)</f>
        <v>Exemple: Assistant-stagiaire</v>
      </c>
      <c r="B68" s="30">
        <f t="shared" si="10"/>
        <v>1885.5416666666667</v>
      </c>
      <c r="C68" s="30">
        <f t="shared" si="11"/>
        <v>5656.625</v>
      </c>
      <c r="D68" s="30">
        <f>IF('Produits et services'!A51="",0,(IF('Produits et services'!E51="Oui",13,12)*'Produits et services'!D51*(1+'Produits et services'!$D$5)*'Produits et services'!F51)) * (1+'Produits et services'!D$5)</f>
        <v>22626.5</v>
      </c>
    </row>
    <row r="69" spans="1:4" ht="15.5" x14ac:dyDescent="0.45">
      <c r="A69" s="29" t="str">
        <f xml:space="preserve"> IF('Produits et services'!A52="","",'Produits et services'!A52)</f>
        <v/>
      </c>
      <c r="B69" s="30">
        <f t="shared" si="10"/>
        <v>0</v>
      </c>
      <c r="C69" s="30">
        <f t="shared" si="11"/>
        <v>0</v>
      </c>
      <c r="D69" s="30">
        <f>IF('Produits et services'!A52="",0,(IF('Produits et services'!E52="Oui",13,12)*'Produits et services'!D52*(1+'Produits et services'!$D$5)*'Produits et services'!F52)) * (1+'Produits et services'!D$5)</f>
        <v>0</v>
      </c>
    </row>
    <row r="70" spans="1:4" ht="15.5" x14ac:dyDescent="0.45">
      <c r="A70" s="29" t="str">
        <f xml:space="preserve"> IF('Produits et services'!A53="","",'Produits et services'!A53)</f>
        <v/>
      </c>
      <c r="B70" s="30">
        <f t="shared" si="10"/>
        <v>0</v>
      </c>
      <c r="C70" s="30">
        <f t="shared" si="11"/>
        <v>0</v>
      </c>
      <c r="D70" s="30">
        <f>IF('Produits et services'!A53="",0,(IF('Produits et services'!E53="Oui",13,12)*'Produits et services'!D53*(1+'Produits et services'!$D$5)*'Produits et services'!F53)) * (1+'Produits et services'!D$5)</f>
        <v>0</v>
      </c>
    </row>
    <row r="71" spans="1:4" ht="15.5" x14ac:dyDescent="0.45">
      <c r="A71" s="29" t="str">
        <f xml:space="preserve"> IF('Produits et services'!A54="","",'Produits et services'!A54)</f>
        <v/>
      </c>
      <c r="B71" s="30">
        <f t="shared" si="10"/>
        <v>0</v>
      </c>
      <c r="C71" s="30">
        <f t="shared" si="11"/>
        <v>0</v>
      </c>
      <c r="D71" s="30">
        <f>IF('Produits et services'!A54="",0,(IF('Produits et services'!E54="Oui",13,12)*'Produits et services'!D54*(1+'Produits et services'!$D$5)*'Produits et services'!F54)) * (1+'Produits et services'!D$5)</f>
        <v>0</v>
      </c>
    </row>
    <row r="72" spans="1:4" ht="15.5" x14ac:dyDescent="0.45">
      <c r="A72" s="29" t="str">
        <f xml:space="preserve"> IF('Produits et services'!A55="","",'Produits et services'!A55)</f>
        <v/>
      </c>
      <c r="B72" s="30">
        <f t="shared" si="10"/>
        <v>0</v>
      </c>
      <c r="C72" s="30">
        <f t="shared" si="11"/>
        <v>0</v>
      </c>
      <c r="D72" s="30">
        <f>IF('Produits et services'!A55="",0,(IF('Produits et services'!E55="Oui",13,12)*'Produits et services'!D55*(1+'Produits et services'!$D$5)*'Produits et services'!F55)) * (1+'Produits et services'!D$5)</f>
        <v>0</v>
      </c>
    </row>
    <row r="73" spans="1:4" ht="15.5" x14ac:dyDescent="0.45">
      <c r="A73" s="29" t="str">
        <f xml:space="preserve"> IF('Produits et services'!A56="","",'Produits et services'!A56)</f>
        <v/>
      </c>
      <c r="B73" s="30">
        <f t="shared" si="10"/>
        <v>0</v>
      </c>
      <c r="C73" s="30">
        <f t="shared" si="11"/>
        <v>0</v>
      </c>
      <c r="D73" s="30">
        <f>IF('Produits et services'!A56="",0,(IF('Produits et services'!E56="Oui",13,12)*'Produits et services'!D56*(1+'Produits et services'!$D$5)*'Produits et services'!F56)) * (1+'Produits et services'!D$5)</f>
        <v>0</v>
      </c>
    </row>
    <row r="74" spans="1:4" ht="15.5" x14ac:dyDescent="0.45">
      <c r="A74" s="29" t="str">
        <f xml:space="preserve"> IF('Produits et services'!A57="","",'Produits et services'!A57)</f>
        <v/>
      </c>
      <c r="B74" s="30">
        <f t="shared" si="10"/>
        <v>0</v>
      </c>
      <c r="C74" s="30">
        <f t="shared" si="11"/>
        <v>0</v>
      </c>
      <c r="D74" s="30">
        <f>IF('Produits et services'!A57="",0,(IF('Produits et services'!E57="Oui",13,12)*'Produits et services'!D57*(1+'Produits et services'!$D$5)*'Produits et services'!F57)) * (1+'Produits et services'!D$5)</f>
        <v>0</v>
      </c>
    </row>
    <row r="75" spans="1:4" ht="15.5" x14ac:dyDescent="0.45">
      <c r="A75" s="29" t="str">
        <f xml:space="preserve"> IF('Produits et services'!A58="","",'Produits et services'!A58)</f>
        <v/>
      </c>
      <c r="B75" s="30">
        <f t="shared" si="10"/>
        <v>0</v>
      </c>
      <c r="C75" s="30">
        <f t="shared" si="11"/>
        <v>0</v>
      </c>
      <c r="D75" s="30">
        <f>IF('Produits et services'!A58="",0,(IF('Produits et services'!E58="Oui",13,12)*'Produits et services'!D58*(1+'Produits et services'!$D$5)*'Produits et services'!F58)) * (1+'Produits et services'!D$5)</f>
        <v>0</v>
      </c>
    </row>
    <row r="76" spans="1:4" ht="15.5" x14ac:dyDescent="0.45">
      <c r="A76" s="43" t="s">
        <v>24</v>
      </c>
      <c r="B76" s="44">
        <f t="shared" ref="B76:C76" si="12">SUM(B66:B75)</f>
        <v>18629.151666666665</v>
      </c>
      <c r="C76" s="44">
        <f t="shared" si="12"/>
        <v>55887.454999999994</v>
      </c>
      <c r="D76" s="44">
        <f>SUM(D66:D75)</f>
        <v>223549.81999999998</v>
      </c>
    </row>
    <row r="77" spans="1:4" ht="15.5" x14ac:dyDescent="0.45">
      <c r="A77" s="5"/>
      <c r="B77" s="5"/>
      <c r="C77" s="5"/>
      <c r="D77" s="5"/>
    </row>
    <row r="78" spans="1:4" ht="15.5" x14ac:dyDescent="0.45">
      <c r="A78" s="45" t="s">
        <v>43</v>
      </c>
      <c r="B78" s="46">
        <f t="shared" ref="B78:C78" si="13">B19+B28-(B48+B62+B76)</f>
        <v>1510.8483333333352</v>
      </c>
      <c r="C78" s="46">
        <f t="shared" si="13"/>
        <v>4532.5450000000128</v>
      </c>
      <c r="D78" s="46">
        <f>D19+D28-(D48+D62+D76)</f>
        <v>18130.180000000051</v>
      </c>
    </row>
    <row r="79" spans="1:4" ht="15.5" x14ac:dyDescent="0.45">
      <c r="A79" s="5"/>
      <c r="B79" s="5"/>
      <c r="C79" s="5"/>
      <c r="D79" s="5"/>
    </row>
    <row r="80" spans="1:4" ht="15.5" x14ac:dyDescent="0.35">
      <c r="A80" s="10" t="s">
        <v>27</v>
      </c>
      <c r="B80" s="11" t="s">
        <v>21</v>
      </c>
      <c r="C80" s="11" t="s">
        <v>22</v>
      </c>
      <c r="D80" s="11" t="s">
        <v>23</v>
      </c>
    </row>
    <row r="81" spans="1:4" ht="15.5" x14ac:dyDescent="0.45">
      <c r="A81" s="29" t="s">
        <v>0</v>
      </c>
      <c r="B81" s="30">
        <f>D81/12</f>
        <v>1390.3633333333335</v>
      </c>
      <c r="C81" s="30">
        <f>D81/4</f>
        <v>4171.09</v>
      </c>
      <c r="D81" s="30">
        <f>IF(OR(D19&lt;=(D48+D62),D19&lt;Tables!B7),0,(D19-(D48+D62))*VLOOKUP('Produits et services'!B5,tva,2,FALSE))</f>
        <v>16684.36</v>
      </c>
    </row>
    <row r="82" spans="1:4" ht="15.5" x14ac:dyDescent="0.45">
      <c r="A82" s="5"/>
      <c r="B82" s="5"/>
      <c r="C82" s="5"/>
      <c r="D82" s="5"/>
    </row>
    <row r="83" spans="1:4" ht="15.5" x14ac:dyDescent="0.45">
      <c r="A83" s="45" t="s">
        <v>69</v>
      </c>
      <c r="B83" s="46">
        <f>B78-B81</f>
        <v>120.48500000000172</v>
      </c>
      <c r="C83" s="46">
        <f>C78-C81</f>
        <v>361.45500000001266</v>
      </c>
      <c r="D83" s="46">
        <f>D78-D81</f>
        <v>1445.8200000000506</v>
      </c>
    </row>
  </sheetData>
  <sheetProtection sheet="1" selectLockedCells="1"/>
  <mergeCells count="6">
    <mergeCell ref="A1:D1"/>
    <mergeCell ref="B2:D2"/>
    <mergeCell ref="B30:D30"/>
    <mergeCell ref="B50:D50"/>
    <mergeCell ref="B64:D64"/>
    <mergeCell ref="B21:D21"/>
  </mergeCells>
  <conditionalFormatting sqref="B4:D18">
    <cfRule type="cellIs" dxfId="17" priority="13" operator="equal">
      <formula>0</formula>
    </cfRule>
  </conditionalFormatting>
  <conditionalFormatting sqref="B32:D47">
    <cfRule type="cellIs" dxfId="16" priority="11" operator="equal">
      <formula>0</formula>
    </cfRule>
  </conditionalFormatting>
  <conditionalFormatting sqref="B52:D61">
    <cfRule type="cellIs" dxfId="15" priority="10" operator="equal">
      <formula>0</formula>
    </cfRule>
  </conditionalFormatting>
  <conditionalFormatting sqref="B81:D81">
    <cfRule type="cellIs" dxfId="14" priority="9" operator="equal">
      <formula>0</formula>
    </cfRule>
  </conditionalFormatting>
  <conditionalFormatting sqref="B66:D75">
    <cfRule type="cellIs" dxfId="13" priority="2" operator="equal">
      <formula>0</formula>
    </cfRule>
  </conditionalFormatting>
  <conditionalFormatting sqref="B23:D27">
    <cfRule type="cellIs" dxfId="12" priority="1" operator="equal">
      <formula>0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portrait" horizontalDpi="4294967295" verticalDpi="4294967295" r:id="rId1"/>
  <headerFooter>
    <oddHeader>&amp;L&amp;G&amp;CProjections financières&amp;REvaluation préliminaire
de la viabilité financière</oddHeader>
  </headerFooter>
  <rowBreaks count="2" manualBreakCount="2">
    <brk id="48" max="16383" man="1"/>
    <brk id="83" max="16383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5"/>
  <sheetViews>
    <sheetView zoomScale="90" zoomScaleNormal="90" workbookViewId="0">
      <selection activeCell="C23" sqref="C23"/>
    </sheetView>
  </sheetViews>
  <sheetFormatPr baseColWidth="10" defaultColWidth="11.36328125" defaultRowHeight="13" x14ac:dyDescent="0.3"/>
  <cols>
    <col min="1" max="1" width="64.36328125" style="54" customWidth="1"/>
    <col min="2" max="7" width="15.7265625" style="54" customWidth="1"/>
    <col min="8" max="8" width="11.36328125" style="55"/>
    <col min="9" max="16384" width="11.36328125" style="54"/>
  </cols>
  <sheetData>
    <row r="1" spans="1:9" ht="205" customHeight="1" x14ac:dyDescent="0.3">
      <c r="A1" s="79" t="s">
        <v>132</v>
      </c>
      <c r="B1" s="79"/>
      <c r="C1" s="79"/>
      <c r="D1" s="79"/>
      <c r="E1" s="79"/>
      <c r="F1" s="79"/>
      <c r="G1" s="79"/>
      <c r="H1" s="52"/>
      <c r="I1" s="53"/>
    </row>
    <row r="2" spans="1:9" ht="46.5" x14ac:dyDescent="0.3">
      <c r="A2" s="47" t="s">
        <v>35</v>
      </c>
      <c r="B2" s="47" t="s">
        <v>33</v>
      </c>
      <c r="C2" s="47" t="s">
        <v>34</v>
      </c>
      <c r="D2" s="47" t="s">
        <v>46</v>
      </c>
      <c r="E2" s="47" t="s">
        <v>45</v>
      </c>
      <c r="F2" s="47" t="s">
        <v>84</v>
      </c>
      <c r="G2" s="47" t="s">
        <v>47</v>
      </c>
    </row>
    <row r="3" spans="1:9" ht="15" customHeight="1" x14ac:dyDescent="0.45">
      <c r="A3" s="59" t="s">
        <v>28</v>
      </c>
      <c r="B3" s="60">
        <v>2.0833333333333332E-2</v>
      </c>
      <c r="C3" s="60"/>
      <c r="D3" s="56">
        <f>IF(B3&lt;&gt;"",B3*5,C3)</f>
        <v>0.10416666666666666</v>
      </c>
      <c r="E3" s="56">
        <f>D3/5*21.7</f>
        <v>0.45208333333333328</v>
      </c>
      <c r="F3" s="56">
        <f>E3</f>
        <v>0.45208333333333328</v>
      </c>
      <c r="G3" s="62">
        <f>IF(F$24=0,0,F3/F$24)</f>
        <v>4.6412369027051294E-2</v>
      </c>
    </row>
    <row r="4" spans="1:9" ht="15" customHeight="1" x14ac:dyDescent="0.45">
      <c r="A4" s="59" t="s">
        <v>29</v>
      </c>
      <c r="B4" s="60"/>
      <c r="C4" s="60">
        <v>0.33333333333333331</v>
      </c>
      <c r="D4" s="56">
        <f t="shared" ref="D4:D5" si="0">IF(B4&lt;&gt;"",B4*5,C4)</f>
        <v>0.33333333333333331</v>
      </c>
      <c r="E4" s="56">
        <f t="shared" ref="E4:E5" si="1">D4/5*21.7</f>
        <v>1.4466666666666665</v>
      </c>
      <c r="F4" s="56">
        <f>E4</f>
        <v>1.4466666666666665</v>
      </c>
      <c r="G4" s="62">
        <f t="shared" ref="G4:G23" si="2">IF(F$24=0,0,F4/F$24)</f>
        <v>0.14851958088656417</v>
      </c>
    </row>
    <row r="5" spans="1:9" ht="15" customHeight="1" x14ac:dyDescent="0.45">
      <c r="A5" s="59" t="s">
        <v>32</v>
      </c>
      <c r="B5" s="60"/>
      <c r="C5" s="60">
        <v>4.1666666666666664E-2</v>
      </c>
      <c r="D5" s="56">
        <f t="shared" si="0"/>
        <v>4.1666666666666664E-2</v>
      </c>
      <c r="E5" s="56">
        <f t="shared" si="1"/>
        <v>0.18083333333333332</v>
      </c>
      <c r="F5" s="56">
        <f>E5</f>
        <v>0.18083333333333332</v>
      </c>
      <c r="G5" s="62">
        <f t="shared" si="2"/>
        <v>1.8564947610820521E-2</v>
      </c>
    </row>
    <row r="6" spans="1:9" ht="15" customHeight="1" x14ac:dyDescent="0.45">
      <c r="A6" s="80" t="str">
        <f xml:space="preserve"> "4) Produire:   " &amp;  IF('Produits et services'!A10="","",'Produits et services'!A10)</f>
        <v>4) Produire:   Exemple: journée de formation</v>
      </c>
      <c r="B6" s="81"/>
      <c r="C6" s="82"/>
      <c r="D6" s="56">
        <f t="shared" ref="D6:D9" si="3">E6*5/21.7</f>
        <v>0.76804915514592931</v>
      </c>
      <c r="E6" s="56">
        <f>('Produits et services'!F10*'Produits et services'!E10)/IF('Produits et services'!G10="An",'Produits et services'!H10,IF('Produits et services'!G10="Mois",1,0.2))</f>
        <v>3.333333333333333</v>
      </c>
      <c r="F6" s="56">
        <f>('Produits et services'!F10*'Produits et services'!E10)/IF('Produits et services'!G10="An",12,IF('Produits et services'!G10="Mois",1,0.2))*('Produits et services'!H10/12)</f>
        <v>2.5</v>
      </c>
      <c r="G6" s="62">
        <f t="shared" si="2"/>
        <v>0.25665826190074453</v>
      </c>
    </row>
    <row r="7" spans="1:9" ht="15" customHeight="1" x14ac:dyDescent="0.45">
      <c r="A7" s="76" t="str">
        <f xml:space="preserve"> IF('Produits et services'!A11="","",'Produits et services'!A11)</f>
        <v>Exemple: cours de 5 jours (10 personnes)</v>
      </c>
      <c r="B7" s="77"/>
      <c r="C7" s="78"/>
      <c r="D7" s="56">
        <f t="shared" si="3"/>
        <v>0.76804915514592942</v>
      </c>
      <c r="E7" s="56">
        <f>('Produits et services'!F11*'Produits et services'!E11)/IF('Produits et services'!G11="An",'Produits et services'!H11,IF('Produits et services'!G11="Mois",1,0.2))</f>
        <v>3.3333333333333335</v>
      </c>
      <c r="F7" s="56">
        <f>('Produits et services'!F11*'Produits et services'!E11)/IF('Produits et services'!G11="An",12,IF('Produits et services'!G11="Mois",1,0.2))*('Produits et services'!H11/12)</f>
        <v>2.3148148148148153</v>
      </c>
      <c r="G7" s="62">
        <f t="shared" si="2"/>
        <v>0.23764653879698572</v>
      </c>
    </row>
    <row r="8" spans="1:9" ht="15" customHeight="1" x14ac:dyDescent="0.45">
      <c r="A8" s="76" t="str">
        <f xml:space="preserve"> IF('Produits et services'!A12="","",'Produits et services'!A12)</f>
        <v>Exemple: animation d'AG</v>
      </c>
      <c r="B8" s="77"/>
      <c r="C8" s="78"/>
      <c r="D8" s="56">
        <f t="shared" si="3"/>
        <v>2.6183493925429409E-2</v>
      </c>
      <c r="E8" s="56">
        <f>('Produits et services'!F12*'Produits et services'!E12)/IF('Produits et services'!G12="An",'Produits et services'!H12,IF('Produits et services'!G12="Mois",1,0.2))</f>
        <v>0.11363636363636363</v>
      </c>
      <c r="F8" s="56">
        <f>('Produits et services'!F12*'Produits et services'!E12)/IF('Produits et services'!G12="An",12,IF('Produits et services'!G12="Mois",1,0.2))*('Produits et services'!H12/12)</f>
        <v>9.5486111111111105E-2</v>
      </c>
      <c r="G8" s="62">
        <f t="shared" si="2"/>
        <v>9.8029197253756591E-3</v>
      </c>
    </row>
    <row r="9" spans="1:9" ht="15" customHeight="1" x14ac:dyDescent="0.45">
      <c r="A9" s="76" t="str">
        <f xml:space="preserve"> IF('Produits et services'!A13="","",'Produits et services'!A13)</f>
        <v>Exemple: World café</v>
      </c>
      <c r="B9" s="77"/>
      <c r="C9" s="78"/>
      <c r="D9" s="56">
        <f t="shared" si="3"/>
        <v>1.0473397570171765E-2</v>
      </c>
      <c r="E9" s="56">
        <f>('Produits et services'!F13*'Produits et services'!E13)/IF('Produits et services'!G13="An",'Produits et services'!H13,IF('Produits et services'!G13="Mois",1,0.2))</f>
        <v>4.5454545454545456E-2</v>
      </c>
      <c r="F9" s="56">
        <f>('Produits et services'!F13*'Produits et services'!E13)/IF('Produits et services'!G13="An",12,IF('Produits et services'!G13="Mois",1,0.2))*('Produits et services'!H13/12)</f>
        <v>3.8194444444444441E-2</v>
      </c>
      <c r="G9" s="62">
        <f t="shared" si="2"/>
        <v>3.9211678901502631E-3</v>
      </c>
    </row>
    <row r="10" spans="1:9" ht="15" customHeight="1" x14ac:dyDescent="0.45">
      <c r="A10" s="76" t="str">
        <f xml:space="preserve"> IF('Produits et services'!A14="","",'Produits et services'!A14)</f>
        <v/>
      </c>
      <c r="B10" s="77"/>
      <c r="C10" s="78"/>
      <c r="D10" s="56">
        <f t="shared" ref="D10:D20" si="4">E10*5/21.7</f>
        <v>0</v>
      </c>
      <c r="E10" s="56">
        <f>('Produits et services'!F14*'Produits et services'!E14)/IF('Produits et services'!G14="An",'Produits et services'!H14,IF('Produits et services'!G14="Mois",1,0.2))</f>
        <v>0</v>
      </c>
      <c r="F10" s="56">
        <f>('Produits et services'!F14*'Produits et services'!E14)/IF('Produits et services'!G14="An",12,IF('Produits et services'!G14="Mois",1,0.2))*('Produits et services'!H14/12)</f>
        <v>0</v>
      </c>
      <c r="G10" s="62">
        <f t="shared" si="2"/>
        <v>0</v>
      </c>
    </row>
    <row r="11" spans="1:9" ht="15" customHeight="1" x14ac:dyDescent="0.45">
      <c r="A11" s="76" t="str">
        <f xml:space="preserve"> IF('Produits et services'!A15="","",'Produits et services'!A15)</f>
        <v/>
      </c>
      <c r="B11" s="77"/>
      <c r="C11" s="78"/>
      <c r="D11" s="56">
        <f t="shared" si="4"/>
        <v>0</v>
      </c>
      <c r="E11" s="56">
        <f>('Produits et services'!F15*'Produits et services'!E15)/IF('Produits et services'!G15="An",'Produits et services'!H15,IF('Produits et services'!G15="Mois",1,0.2))</f>
        <v>0</v>
      </c>
      <c r="F11" s="56">
        <f>('Produits et services'!F15*'Produits et services'!E15)/IF('Produits et services'!G15="An",12,IF('Produits et services'!G15="Mois",1,0.2))*('Produits et services'!H15/12)</f>
        <v>0</v>
      </c>
      <c r="G11" s="62">
        <f t="shared" si="2"/>
        <v>0</v>
      </c>
    </row>
    <row r="12" spans="1:9" ht="15" customHeight="1" x14ac:dyDescent="0.45">
      <c r="A12" s="76" t="str">
        <f xml:space="preserve"> IF('Produits et services'!A16="","",'Produits et services'!A16)</f>
        <v/>
      </c>
      <c r="B12" s="77"/>
      <c r="C12" s="78"/>
      <c r="D12" s="56">
        <f t="shared" si="4"/>
        <v>0</v>
      </c>
      <c r="E12" s="56">
        <f>('Produits et services'!F16*'Produits et services'!E16)/IF('Produits et services'!G16="An",'Produits et services'!H16,IF('Produits et services'!G16="Mois",1,0.2))</f>
        <v>0</v>
      </c>
      <c r="F12" s="56">
        <f>('Produits et services'!F16*'Produits et services'!E16)/IF('Produits et services'!G16="An",12,IF('Produits et services'!G16="Mois",1,0.2))*('Produits et services'!H16/12)</f>
        <v>0</v>
      </c>
      <c r="G12" s="62">
        <f t="shared" si="2"/>
        <v>0</v>
      </c>
    </row>
    <row r="13" spans="1:9" ht="15" customHeight="1" x14ac:dyDescent="0.45">
      <c r="A13" s="76" t="str">
        <f xml:space="preserve"> IF('Produits et services'!A17="","",'Produits et services'!A17)</f>
        <v/>
      </c>
      <c r="B13" s="77"/>
      <c r="C13" s="78"/>
      <c r="D13" s="56">
        <f t="shared" si="4"/>
        <v>0</v>
      </c>
      <c r="E13" s="56">
        <f>('Produits et services'!F17*'Produits et services'!E17)/IF('Produits et services'!G17="An",'Produits et services'!H17,IF('Produits et services'!G17="Mois",1,0.2))</f>
        <v>0</v>
      </c>
      <c r="F13" s="56">
        <f>('Produits et services'!F17*'Produits et services'!E17)/IF('Produits et services'!G17="An",12,IF('Produits et services'!G17="Mois",1,0.2))*('Produits et services'!H17/12)</f>
        <v>0</v>
      </c>
      <c r="G13" s="62">
        <f t="shared" si="2"/>
        <v>0</v>
      </c>
    </row>
    <row r="14" spans="1:9" ht="15" customHeight="1" x14ac:dyDescent="0.45">
      <c r="A14" s="76" t="str">
        <f xml:space="preserve"> IF('Produits et services'!A18="","",'Produits et services'!A18)</f>
        <v/>
      </c>
      <c r="B14" s="77"/>
      <c r="C14" s="78"/>
      <c r="D14" s="56">
        <f t="shared" si="4"/>
        <v>0</v>
      </c>
      <c r="E14" s="56">
        <f>('Produits et services'!F18*'Produits et services'!E18)/IF('Produits et services'!G18="An",'Produits et services'!H18,IF('Produits et services'!G18="Mois",1,0.2))</f>
        <v>0</v>
      </c>
      <c r="F14" s="56">
        <f>('Produits et services'!F18*'Produits et services'!E18)/IF('Produits et services'!G18="An",12,IF('Produits et services'!G18="Mois",1,0.2))*('Produits et services'!H18/12)</f>
        <v>0</v>
      </c>
      <c r="G14" s="62">
        <f t="shared" si="2"/>
        <v>0</v>
      </c>
    </row>
    <row r="15" spans="1:9" ht="15" customHeight="1" x14ac:dyDescent="0.45">
      <c r="A15" s="76" t="str">
        <f xml:space="preserve"> IF('Produits et services'!A19="","",'Produits et services'!A19)</f>
        <v/>
      </c>
      <c r="B15" s="77"/>
      <c r="C15" s="78"/>
      <c r="D15" s="56">
        <f t="shared" si="4"/>
        <v>0</v>
      </c>
      <c r="E15" s="56">
        <f>('Produits et services'!F19*'Produits et services'!E19)/IF('Produits et services'!G19="An",'Produits et services'!H19,IF('Produits et services'!G19="Mois",1,0.2))</f>
        <v>0</v>
      </c>
      <c r="F15" s="56">
        <f>('Produits et services'!F19*'Produits et services'!E19)/IF('Produits et services'!G19="An",12,IF('Produits et services'!G19="Mois",1,0.2))*('Produits et services'!H19/12)</f>
        <v>0</v>
      </c>
      <c r="G15" s="62">
        <f t="shared" si="2"/>
        <v>0</v>
      </c>
    </row>
    <row r="16" spans="1:9" ht="15" customHeight="1" x14ac:dyDescent="0.45">
      <c r="A16" s="76" t="str">
        <f xml:space="preserve"> IF('Produits et services'!A20="","",'Produits et services'!A20)</f>
        <v/>
      </c>
      <c r="B16" s="77"/>
      <c r="C16" s="78"/>
      <c r="D16" s="56">
        <f t="shared" si="4"/>
        <v>0</v>
      </c>
      <c r="E16" s="56">
        <f>('Produits et services'!F20*'Produits et services'!E20)/IF('Produits et services'!G20="An",'Produits et services'!H20,IF('Produits et services'!G20="Mois",1,0.2))</f>
        <v>0</v>
      </c>
      <c r="F16" s="56">
        <f>('Produits et services'!F20*'Produits et services'!E20)/IF('Produits et services'!G20="An",12,IF('Produits et services'!G20="Mois",1,0.2))*('Produits et services'!H20/12)</f>
        <v>0</v>
      </c>
      <c r="G16" s="62">
        <f t="shared" si="2"/>
        <v>0</v>
      </c>
    </row>
    <row r="17" spans="1:7" ht="15" customHeight="1" x14ac:dyDescent="0.45">
      <c r="A17" s="76" t="str">
        <f xml:space="preserve"> IF('Produits et services'!A21="","",'Produits et services'!A21)</f>
        <v/>
      </c>
      <c r="B17" s="77"/>
      <c r="C17" s="78"/>
      <c r="D17" s="56">
        <f t="shared" si="4"/>
        <v>0</v>
      </c>
      <c r="E17" s="56">
        <f>('Produits et services'!F21*'Produits et services'!E21)/IF('Produits et services'!G21="An",'Produits et services'!H21,IF('Produits et services'!G21="Mois",1,0.2))</f>
        <v>0</v>
      </c>
      <c r="F17" s="56">
        <f>('Produits et services'!F21*'Produits et services'!E21)/IF('Produits et services'!G21="An",12,IF('Produits et services'!G21="Mois",1,0.2))*('Produits et services'!H21/12)</f>
        <v>0</v>
      </c>
      <c r="G17" s="62">
        <f t="shared" si="2"/>
        <v>0</v>
      </c>
    </row>
    <row r="18" spans="1:7" ht="15" customHeight="1" x14ac:dyDescent="0.45">
      <c r="A18" s="76" t="str">
        <f xml:space="preserve"> IF('Produits et services'!A22="","",'Produits et services'!A22)</f>
        <v/>
      </c>
      <c r="B18" s="77"/>
      <c r="C18" s="78"/>
      <c r="D18" s="56">
        <f t="shared" si="4"/>
        <v>0</v>
      </c>
      <c r="E18" s="56">
        <f>('Produits et services'!F22*'Produits et services'!E22)/IF('Produits et services'!G22="An",'Produits et services'!H22,IF('Produits et services'!G22="Mois",1,0.2))</f>
        <v>0</v>
      </c>
      <c r="F18" s="56">
        <f>('Produits et services'!F22*'Produits et services'!E22)/IF('Produits et services'!G22="An",12,IF('Produits et services'!G22="Mois",1,0.2))*('Produits et services'!H22/12)</f>
        <v>0</v>
      </c>
      <c r="G18" s="62">
        <f t="shared" si="2"/>
        <v>0</v>
      </c>
    </row>
    <row r="19" spans="1:7" ht="15" customHeight="1" x14ac:dyDescent="0.45">
      <c r="A19" s="76" t="str">
        <f xml:space="preserve"> IF('Produits et services'!A23="","",'Produits et services'!A23)</f>
        <v/>
      </c>
      <c r="B19" s="77"/>
      <c r="C19" s="78"/>
      <c r="D19" s="56">
        <f t="shared" si="4"/>
        <v>0</v>
      </c>
      <c r="E19" s="56">
        <f>('Produits et services'!F23*'Produits et services'!E23)/IF('Produits et services'!G23="An",'Produits et services'!H23,IF('Produits et services'!G23="Mois",1,0.2))</f>
        <v>0</v>
      </c>
      <c r="F19" s="56">
        <f>('Produits et services'!F23*'Produits et services'!E23)/IF('Produits et services'!G23="An",12,IF('Produits et services'!G23="Mois",1,0.2))*('Produits et services'!H23/12)</f>
        <v>0</v>
      </c>
      <c r="G19" s="62">
        <f t="shared" si="2"/>
        <v>0</v>
      </c>
    </row>
    <row r="20" spans="1:7" ht="15" customHeight="1" x14ac:dyDescent="0.45">
      <c r="A20" s="76" t="str">
        <f xml:space="preserve"> IF('Produits et services'!A24="","",'Produits et services'!A24)</f>
        <v/>
      </c>
      <c r="B20" s="77"/>
      <c r="C20" s="78"/>
      <c r="D20" s="56">
        <f t="shared" si="4"/>
        <v>0</v>
      </c>
      <c r="E20" s="56">
        <f>('Produits et services'!F24*'Produits et services'!E24)/IF('Produits et services'!G24="An",'Produits et services'!H24,IF('Produits et services'!G24="Mois",1,0.2))</f>
        <v>0</v>
      </c>
      <c r="F20" s="56">
        <f>('Produits et services'!F24*'Produits et services'!E24)/IF('Produits et services'!G24="An",12,IF('Produits et services'!G24="Mois",1,0.2))*('Produits et services'!H24/12)</f>
        <v>0</v>
      </c>
      <c r="G20" s="62">
        <f t="shared" si="2"/>
        <v>0</v>
      </c>
    </row>
    <row r="21" spans="1:7" ht="15" customHeight="1" x14ac:dyDescent="0.45">
      <c r="A21" s="59" t="s">
        <v>30</v>
      </c>
      <c r="B21" s="60"/>
      <c r="C21" s="60">
        <v>8.3333333333333329E-2</v>
      </c>
      <c r="D21" s="56">
        <f t="shared" ref="D21" si="5">IF(B21&lt;&gt;"",B21*5,C21)</f>
        <v>8.3333333333333329E-2</v>
      </c>
      <c r="E21" s="56">
        <f t="shared" ref="E21" si="6">D21/5*21.7</f>
        <v>0.36166666666666664</v>
      </c>
      <c r="F21" s="56">
        <f>E21</f>
        <v>0.36166666666666664</v>
      </c>
      <c r="G21" s="62">
        <f t="shared" si="2"/>
        <v>3.7129895221641042E-2</v>
      </c>
    </row>
    <row r="22" spans="1:7" ht="15" customHeight="1" x14ac:dyDescent="0.45">
      <c r="A22" s="59" t="s">
        <v>31</v>
      </c>
      <c r="B22" s="60"/>
      <c r="C22" s="60">
        <v>0.125</v>
      </c>
      <c r="D22" s="56">
        <f t="shared" ref="D22" si="7">IF(B22&lt;&gt;"",B22*5,C22)</f>
        <v>0.125</v>
      </c>
      <c r="E22" s="56">
        <f t="shared" ref="E22" si="8">D22/5*21.7</f>
        <v>0.54249999999999998</v>
      </c>
      <c r="F22" s="56">
        <f>E22</f>
        <v>0.54249999999999998</v>
      </c>
      <c r="G22" s="62">
        <f t="shared" ref="G22" si="9">IF(F$24=0,0,F22/F$24)</f>
        <v>5.5694842832461559E-2</v>
      </c>
    </row>
    <row r="23" spans="1:7" ht="15" customHeight="1" x14ac:dyDescent="0.45">
      <c r="A23" s="59" t="s">
        <v>48</v>
      </c>
      <c r="B23" s="60">
        <v>8.3333333333333329E-2</v>
      </c>
      <c r="C23" s="60"/>
      <c r="D23" s="56">
        <f t="shared" ref="D23" si="10">IF(B23&lt;&gt;"",B23*5,C23)</f>
        <v>0.41666666666666663</v>
      </c>
      <c r="E23" s="56">
        <f t="shared" ref="E23" si="11">D23/5*21.7</f>
        <v>1.8083333333333331</v>
      </c>
      <c r="F23" s="56">
        <f>E23</f>
        <v>1.8083333333333331</v>
      </c>
      <c r="G23" s="62">
        <f t="shared" si="2"/>
        <v>0.18564947610820517</v>
      </c>
    </row>
    <row r="24" spans="1:7" ht="15.5" x14ac:dyDescent="0.45">
      <c r="A24" s="7"/>
      <c r="B24" s="7"/>
      <c r="C24" s="57" t="s">
        <v>36</v>
      </c>
      <c r="D24" s="61">
        <f>SUM(D3:D23)</f>
        <v>2.6769218684541265</v>
      </c>
      <c r="E24" s="61">
        <f>SUM(E3:E23)</f>
        <v>11.617840909090908</v>
      </c>
      <c r="F24" s="61">
        <f>SUM(F3:F23)</f>
        <v>9.7405787037037044</v>
      </c>
      <c r="G24" s="63">
        <f>IF(E$24=0,0,E24/E$24)</f>
        <v>1</v>
      </c>
    </row>
    <row r="25" spans="1:7" ht="15.5" x14ac:dyDescent="0.45">
      <c r="A25" s="7"/>
      <c r="B25" s="7"/>
      <c r="C25" s="57" t="s">
        <v>70</v>
      </c>
      <c r="D25" s="61">
        <f>E25*5/21.7</f>
        <v>4.1839477726574508</v>
      </c>
      <c r="E25" s="61">
        <f>'Produits et services'!H59+'Produits et services'!H68</f>
        <v>18.158333333333335</v>
      </c>
      <c r="F25" s="58"/>
      <c r="G25" s="58"/>
    </row>
  </sheetData>
  <sheetProtection sheet="1" selectLockedCells="1"/>
  <mergeCells count="16">
    <mergeCell ref="A1:G1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0:C20"/>
    <mergeCell ref="A15:C15"/>
    <mergeCell ref="A16:C16"/>
    <mergeCell ref="A17:C17"/>
    <mergeCell ref="A18:C18"/>
    <mergeCell ref="A19:C19"/>
  </mergeCells>
  <conditionalFormatting sqref="D3:E20">
    <cfRule type="cellIs" dxfId="11" priority="7" operator="equal">
      <formula>0</formula>
    </cfRule>
  </conditionalFormatting>
  <conditionalFormatting sqref="G3:G24">
    <cfRule type="cellIs" dxfId="10" priority="6" operator="equal">
      <formula>0</formula>
    </cfRule>
  </conditionalFormatting>
  <conditionalFormatting sqref="D21:E22">
    <cfRule type="cellIs" dxfId="9" priority="5" operator="equal">
      <formula>0</formula>
    </cfRule>
  </conditionalFormatting>
  <conditionalFormatting sqref="D23:E23">
    <cfRule type="cellIs" dxfId="8" priority="3" operator="equal">
      <formula>0</formula>
    </cfRule>
  </conditionalFormatting>
  <conditionalFormatting sqref="F6:F20">
    <cfRule type="cellIs" dxfId="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landscape" horizontalDpi="4294967295" verticalDpi="4294967295" r:id="rId1"/>
  <headerFooter>
    <oddHeader>&amp;L&amp;G&amp;CTâches auxiliaires et charge de travail&amp;RAnalyse préliminaire
de la viabilité financière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"/>
  <sheetViews>
    <sheetView workbookViewId="0">
      <selection activeCell="B2" sqref="B2"/>
    </sheetView>
  </sheetViews>
  <sheetFormatPr baseColWidth="10" defaultRowHeight="15.5" x14ac:dyDescent="0.45"/>
  <cols>
    <col min="1" max="1" width="27.1796875" style="7" customWidth="1"/>
    <col min="2" max="2" width="13.7265625" style="7" customWidth="1"/>
    <col min="3" max="3" width="34.26953125" style="7" customWidth="1"/>
    <col min="4" max="4" width="12.08984375" style="7" bestFit="1" customWidth="1"/>
    <col min="5" max="16384" width="10.90625" style="7"/>
  </cols>
  <sheetData>
    <row r="1" spans="1:2" x14ac:dyDescent="0.45">
      <c r="A1" s="42" t="s">
        <v>0</v>
      </c>
      <c r="B1" s="39"/>
    </row>
    <row r="2" spans="1:2" x14ac:dyDescent="0.45">
      <c r="A2" s="7" t="s">
        <v>1</v>
      </c>
      <c r="B2" s="40">
        <v>0</v>
      </c>
    </row>
    <row r="3" spans="1:2" x14ac:dyDescent="0.45">
      <c r="A3" s="7" t="s">
        <v>2</v>
      </c>
      <c r="B3" s="40">
        <v>2.5000000000000001E-2</v>
      </c>
    </row>
    <row r="4" spans="1:2" x14ac:dyDescent="0.45">
      <c r="A4" s="7" t="s">
        <v>3</v>
      </c>
      <c r="B4" s="40">
        <v>3.6999999999999998E-2</v>
      </c>
    </row>
    <row r="5" spans="1:2" x14ac:dyDescent="0.45">
      <c r="A5" s="7" t="s">
        <v>56</v>
      </c>
      <c r="B5" s="40">
        <v>7.6999999999999999E-2</v>
      </c>
    </row>
    <row r="7" spans="1:2" x14ac:dyDescent="0.45">
      <c r="A7" s="42" t="s">
        <v>83</v>
      </c>
      <c r="B7" s="41">
        <v>100000</v>
      </c>
    </row>
    <row r="9" spans="1:2" x14ac:dyDescent="0.45">
      <c r="A9" s="42" t="s">
        <v>4</v>
      </c>
      <c r="B9" s="39"/>
    </row>
    <row r="10" spans="1:2" x14ac:dyDescent="0.45">
      <c r="A10" s="7" t="s">
        <v>5</v>
      </c>
    </row>
    <row r="11" spans="1:2" x14ac:dyDescent="0.45">
      <c r="A11" s="7" t="s">
        <v>6</v>
      </c>
    </row>
    <row r="12" spans="1:2" x14ac:dyDescent="0.45">
      <c r="A12" s="7" t="s">
        <v>7</v>
      </c>
    </row>
    <row r="14" spans="1:2" x14ac:dyDescent="0.45">
      <c r="A14" s="42" t="s">
        <v>119</v>
      </c>
    </row>
    <row r="15" spans="1:2" x14ac:dyDescent="0.45">
      <c r="A15" s="7" t="s">
        <v>66</v>
      </c>
    </row>
    <row r="16" spans="1:2" x14ac:dyDescent="0.45">
      <c r="A16" s="7" t="s">
        <v>120</v>
      </c>
    </row>
  </sheetData>
  <sheetProtection sheet="1" selectLockedCells="1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B848-CA59-4345-A71A-7A1D6C868F2A}">
  <dimension ref="A1:E33"/>
  <sheetViews>
    <sheetView workbookViewId="0">
      <selection activeCell="C3" sqref="C3"/>
    </sheetView>
  </sheetViews>
  <sheetFormatPr baseColWidth="10" defaultRowHeight="15.5" x14ac:dyDescent="0.45"/>
  <cols>
    <col min="1" max="1" width="35" style="7" customWidth="1"/>
    <col min="2" max="2" width="5.90625" style="7" customWidth="1"/>
    <col min="3" max="5" width="12.7265625" style="7" customWidth="1"/>
    <col min="6" max="16384" width="10.90625" style="7"/>
  </cols>
  <sheetData>
    <row r="1" spans="1:5" ht="30" customHeight="1" x14ac:dyDescent="0.45">
      <c r="A1" s="87" t="s">
        <v>85</v>
      </c>
      <c r="B1" s="87"/>
      <c r="C1" s="87"/>
      <c r="D1" s="87"/>
      <c r="E1" s="87"/>
    </row>
    <row r="2" spans="1:5" s="51" customFormat="1" x14ac:dyDescent="0.35">
      <c r="A2" s="88" t="s">
        <v>86</v>
      </c>
      <c r="B2" s="89"/>
      <c r="C2" s="50" t="s">
        <v>21</v>
      </c>
      <c r="D2" s="50" t="s">
        <v>22</v>
      </c>
      <c r="E2" s="50" t="s">
        <v>23</v>
      </c>
    </row>
    <row r="3" spans="1:5" x14ac:dyDescent="0.45">
      <c r="A3" s="83" t="s">
        <v>87</v>
      </c>
      <c r="B3" s="84"/>
      <c r="C3" s="65">
        <v>1500</v>
      </c>
      <c r="D3" s="48">
        <f>C3*3</f>
        <v>4500</v>
      </c>
      <c r="E3" s="48">
        <f>C3*12</f>
        <v>18000</v>
      </c>
    </row>
    <row r="4" spans="1:5" x14ac:dyDescent="0.45">
      <c r="A4" s="83" t="s">
        <v>88</v>
      </c>
      <c r="B4" s="84"/>
      <c r="C4" s="65">
        <v>300</v>
      </c>
      <c r="D4" s="48">
        <f t="shared" ref="D4:D32" si="0">C4*3</f>
        <v>900</v>
      </c>
      <c r="E4" s="48">
        <f t="shared" ref="E4:E10" si="1">C4*12</f>
        <v>3600</v>
      </c>
    </row>
    <row r="5" spans="1:5" x14ac:dyDescent="0.45">
      <c r="A5" s="83" t="s">
        <v>89</v>
      </c>
      <c r="B5" s="84"/>
      <c r="C5" s="65">
        <v>150</v>
      </c>
      <c r="D5" s="48">
        <f t="shared" si="0"/>
        <v>450</v>
      </c>
      <c r="E5" s="48">
        <f t="shared" si="1"/>
        <v>1800</v>
      </c>
    </row>
    <row r="6" spans="1:5" x14ac:dyDescent="0.45">
      <c r="A6" s="83" t="s">
        <v>90</v>
      </c>
      <c r="B6" s="84"/>
      <c r="C6" s="65">
        <v>99</v>
      </c>
      <c r="D6" s="48">
        <f t="shared" si="0"/>
        <v>297</v>
      </c>
      <c r="E6" s="48">
        <f t="shared" si="1"/>
        <v>1188</v>
      </c>
    </row>
    <row r="7" spans="1:5" x14ac:dyDescent="0.45">
      <c r="A7" s="83" t="s">
        <v>91</v>
      </c>
      <c r="B7" s="84"/>
      <c r="C7" s="65">
        <v>169</v>
      </c>
      <c r="D7" s="48">
        <f t="shared" si="0"/>
        <v>507</v>
      </c>
      <c r="E7" s="48">
        <f t="shared" si="1"/>
        <v>2028</v>
      </c>
    </row>
    <row r="8" spans="1:5" x14ac:dyDescent="0.45">
      <c r="A8" s="83" t="s">
        <v>92</v>
      </c>
      <c r="B8" s="84"/>
      <c r="C8" s="65">
        <v>50</v>
      </c>
      <c r="D8" s="48">
        <f t="shared" si="0"/>
        <v>150</v>
      </c>
      <c r="E8" s="48">
        <f t="shared" si="1"/>
        <v>600</v>
      </c>
    </row>
    <row r="9" spans="1:5" x14ac:dyDescent="0.45">
      <c r="A9" s="83" t="s">
        <v>93</v>
      </c>
      <c r="B9" s="84"/>
      <c r="C9" s="65">
        <v>45</v>
      </c>
      <c r="D9" s="48">
        <f t="shared" si="0"/>
        <v>135</v>
      </c>
      <c r="E9" s="48">
        <f t="shared" si="1"/>
        <v>540</v>
      </c>
    </row>
    <row r="10" spans="1:5" x14ac:dyDescent="0.45">
      <c r="A10" s="83" t="s">
        <v>94</v>
      </c>
      <c r="B10" s="84"/>
      <c r="C10" s="65">
        <v>40</v>
      </c>
      <c r="D10" s="48">
        <f t="shared" si="0"/>
        <v>120</v>
      </c>
      <c r="E10" s="48">
        <f t="shared" si="1"/>
        <v>480</v>
      </c>
    </row>
    <row r="11" spans="1:5" x14ac:dyDescent="0.45">
      <c r="A11" s="85" t="s">
        <v>95</v>
      </c>
      <c r="B11" s="86"/>
      <c r="C11" s="47" t="s">
        <v>21</v>
      </c>
      <c r="D11" s="47" t="s">
        <v>22</v>
      </c>
      <c r="E11" s="47" t="s">
        <v>23</v>
      </c>
    </row>
    <row r="12" spans="1:5" x14ac:dyDescent="0.45">
      <c r="A12" s="83" t="s">
        <v>96</v>
      </c>
      <c r="B12" s="84"/>
      <c r="C12" s="65">
        <v>800</v>
      </c>
      <c r="D12" s="48">
        <f t="shared" si="0"/>
        <v>2400</v>
      </c>
      <c r="E12" s="48">
        <f>C12*12</f>
        <v>9600</v>
      </c>
    </row>
    <row r="13" spans="1:5" x14ac:dyDescent="0.45">
      <c r="A13" s="83" t="s">
        <v>114</v>
      </c>
      <c r="B13" s="84"/>
      <c r="C13" s="65">
        <v>35</v>
      </c>
      <c r="D13" s="48">
        <f t="shared" si="0"/>
        <v>105</v>
      </c>
      <c r="E13" s="48">
        <f t="shared" ref="E13:E17" si="2">C13*12</f>
        <v>420</v>
      </c>
    </row>
    <row r="14" spans="1:5" x14ac:dyDescent="0.45">
      <c r="A14" s="83" t="s">
        <v>97</v>
      </c>
      <c r="B14" s="84"/>
      <c r="C14" s="65">
        <v>50</v>
      </c>
      <c r="D14" s="48">
        <f t="shared" si="0"/>
        <v>150</v>
      </c>
      <c r="E14" s="48">
        <f t="shared" si="2"/>
        <v>600</v>
      </c>
    </row>
    <row r="15" spans="1:5" x14ac:dyDescent="0.45">
      <c r="A15" s="83" t="s">
        <v>98</v>
      </c>
      <c r="B15" s="84"/>
      <c r="C15" s="65">
        <v>50</v>
      </c>
      <c r="D15" s="48">
        <f t="shared" si="0"/>
        <v>150</v>
      </c>
      <c r="E15" s="48">
        <f t="shared" si="2"/>
        <v>600</v>
      </c>
    </row>
    <row r="16" spans="1:5" x14ac:dyDescent="0.45">
      <c r="A16" s="83" t="s">
        <v>99</v>
      </c>
      <c r="B16" s="84"/>
      <c r="C16" s="65">
        <v>300</v>
      </c>
      <c r="D16" s="48">
        <f t="shared" si="0"/>
        <v>900</v>
      </c>
      <c r="E16" s="48">
        <f t="shared" si="2"/>
        <v>3600</v>
      </c>
    </row>
    <row r="17" spans="1:5" x14ac:dyDescent="0.45">
      <c r="A17" s="83" t="s">
        <v>100</v>
      </c>
      <c r="B17" s="84"/>
      <c r="C17" s="65"/>
      <c r="D17" s="48">
        <f t="shared" si="0"/>
        <v>0</v>
      </c>
      <c r="E17" s="48">
        <f t="shared" si="2"/>
        <v>0</v>
      </c>
    </row>
    <row r="18" spans="1:5" x14ac:dyDescent="0.45">
      <c r="A18" s="85" t="s">
        <v>101</v>
      </c>
      <c r="B18" s="86"/>
      <c r="C18" s="47" t="s">
        <v>21</v>
      </c>
      <c r="D18" s="47" t="s">
        <v>22</v>
      </c>
      <c r="E18" s="47" t="s">
        <v>23</v>
      </c>
    </row>
    <row r="19" spans="1:5" x14ac:dyDescent="0.45">
      <c r="A19" s="83" t="s">
        <v>102</v>
      </c>
      <c r="B19" s="84"/>
      <c r="C19" s="65"/>
      <c r="D19" s="48">
        <f t="shared" si="0"/>
        <v>0</v>
      </c>
      <c r="E19" s="48">
        <f>C19*12</f>
        <v>0</v>
      </c>
    </row>
    <row r="20" spans="1:5" x14ac:dyDescent="0.45">
      <c r="A20" s="83" t="s">
        <v>103</v>
      </c>
      <c r="B20" s="84"/>
      <c r="C20" s="65">
        <v>120</v>
      </c>
      <c r="D20" s="48">
        <f t="shared" si="0"/>
        <v>360</v>
      </c>
      <c r="E20" s="48">
        <f t="shared" ref="E20:E32" si="3">C20*12</f>
        <v>1440</v>
      </c>
    </row>
    <row r="21" spans="1:5" x14ac:dyDescent="0.45">
      <c r="A21" s="83" t="s">
        <v>104</v>
      </c>
      <c r="B21" s="84"/>
      <c r="C21" s="65">
        <v>150</v>
      </c>
      <c r="D21" s="48">
        <f t="shared" si="0"/>
        <v>450</v>
      </c>
      <c r="E21" s="48">
        <f t="shared" si="3"/>
        <v>1800</v>
      </c>
    </row>
    <row r="22" spans="1:5" x14ac:dyDescent="0.45">
      <c r="A22" s="83" t="s">
        <v>105</v>
      </c>
      <c r="B22" s="84"/>
      <c r="C22" s="65">
        <v>800</v>
      </c>
      <c r="D22" s="48">
        <f t="shared" si="0"/>
        <v>2400</v>
      </c>
      <c r="E22" s="48">
        <f t="shared" si="3"/>
        <v>9600</v>
      </c>
    </row>
    <row r="23" spans="1:5" x14ac:dyDescent="0.45">
      <c r="A23" s="83" t="s">
        <v>106</v>
      </c>
      <c r="B23" s="84"/>
      <c r="C23" s="65">
        <v>20</v>
      </c>
      <c r="D23" s="48">
        <f t="shared" si="0"/>
        <v>60</v>
      </c>
      <c r="E23" s="48">
        <f t="shared" si="3"/>
        <v>240</v>
      </c>
    </row>
    <row r="24" spans="1:5" x14ac:dyDescent="0.45">
      <c r="A24" s="83" t="s">
        <v>107</v>
      </c>
      <c r="B24" s="84"/>
      <c r="C24" s="65"/>
      <c r="D24" s="48">
        <f t="shared" si="0"/>
        <v>0</v>
      </c>
      <c r="E24" s="48">
        <f t="shared" si="3"/>
        <v>0</v>
      </c>
    </row>
    <row r="25" spans="1:5" x14ac:dyDescent="0.45">
      <c r="A25" s="83" t="s">
        <v>108</v>
      </c>
      <c r="B25" s="84"/>
      <c r="C25" s="65">
        <v>1000</v>
      </c>
      <c r="D25" s="48">
        <f t="shared" si="0"/>
        <v>3000</v>
      </c>
      <c r="E25" s="48">
        <f t="shared" si="3"/>
        <v>12000</v>
      </c>
    </row>
    <row r="26" spans="1:5" x14ac:dyDescent="0.45">
      <c r="A26" s="83" t="s">
        <v>109</v>
      </c>
      <c r="B26" s="84"/>
      <c r="C26" s="65">
        <v>100</v>
      </c>
      <c r="D26" s="48">
        <f t="shared" si="0"/>
        <v>300</v>
      </c>
      <c r="E26" s="48">
        <f t="shared" si="3"/>
        <v>1200</v>
      </c>
    </row>
    <row r="27" spans="1:5" x14ac:dyDescent="0.45">
      <c r="A27" s="83" t="s">
        <v>110</v>
      </c>
      <c r="B27" s="84"/>
      <c r="C27" s="65">
        <v>1000</v>
      </c>
      <c r="D27" s="48">
        <f t="shared" si="0"/>
        <v>3000</v>
      </c>
      <c r="E27" s="48">
        <f t="shared" si="3"/>
        <v>12000</v>
      </c>
    </row>
    <row r="28" spans="1:5" x14ac:dyDescent="0.45">
      <c r="A28" s="83" t="s">
        <v>111</v>
      </c>
      <c r="B28" s="84"/>
      <c r="C28" s="65"/>
      <c r="D28" s="48">
        <f t="shared" si="0"/>
        <v>0</v>
      </c>
      <c r="E28" s="48">
        <f t="shared" si="3"/>
        <v>0</v>
      </c>
    </row>
    <row r="29" spans="1:5" x14ac:dyDescent="0.45">
      <c r="A29" s="85" t="s">
        <v>134</v>
      </c>
      <c r="B29" s="86"/>
      <c r="C29" s="47" t="s">
        <v>21</v>
      </c>
      <c r="D29" s="47" t="s">
        <v>22</v>
      </c>
      <c r="E29" s="47" t="s">
        <v>23</v>
      </c>
    </row>
    <row r="30" spans="1:5" x14ac:dyDescent="0.45">
      <c r="A30" s="83" t="s">
        <v>134</v>
      </c>
      <c r="B30" s="84"/>
      <c r="C30" s="65">
        <v>110</v>
      </c>
      <c r="D30" s="48">
        <f t="shared" ref="D30" si="4">C30*3</f>
        <v>330</v>
      </c>
      <c r="E30" s="48">
        <f t="shared" ref="E30" si="5">C30*12</f>
        <v>1320</v>
      </c>
    </row>
    <row r="31" spans="1:5" x14ac:dyDescent="0.45">
      <c r="A31" s="85" t="s">
        <v>112</v>
      </c>
      <c r="B31" s="86"/>
      <c r="C31" s="49">
        <f>SUM(C3:C30)</f>
        <v>6888</v>
      </c>
      <c r="D31" s="49">
        <f>SUM(D3:D30)</f>
        <v>20664</v>
      </c>
      <c r="E31" s="49">
        <f t="shared" ref="E31" si="6">SUM(E3:E30)</f>
        <v>82656</v>
      </c>
    </row>
    <row r="32" spans="1:5" x14ac:dyDescent="0.45">
      <c r="A32" s="64" t="s">
        <v>133</v>
      </c>
      <c r="B32" s="66">
        <v>0.1</v>
      </c>
      <c r="C32" s="48">
        <f>SUM(C31*B32)</f>
        <v>688.80000000000007</v>
      </c>
      <c r="D32" s="48">
        <f t="shared" si="0"/>
        <v>2066.4</v>
      </c>
      <c r="E32" s="48">
        <f t="shared" si="3"/>
        <v>8265.6</v>
      </c>
    </row>
    <row r="33" spans="1:5" x14ac:dyDescent="0.45">
      <c r="A33" s="85" t="s">
        <v>113</v>
      </c>
      <c r="B33" s="86"/>
      <c r="C33" s="49">
        <f>SUM(C32+C31)</f>
        <v>7576.8</v>
      </c>
      <c r="D33" s="49">
        <f>SUM(D32+D31)</f>
        <v>22730.400000000001</v>
      </c>
      <c r="E33" s="49">
        <f>SUM(E32+E31)</f>
        <v>90921.600000000006</v>
      </c>
    </row>
  </sheetData>
  <sheetProtection sheet="1" objects="1" scenarios="1" selectLockedCells="1"/>
  <mergeCells count="32">
    <mergeCell ref="A1:E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2:B12"/>
    <mergeCell ref="A13:B13"/>
    <mergeCell ref="A11:B11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1:B31"/>
    <mergeCell ref="A33:B33"/>
    <mergeCell ref="A29:B29"/>
    <mergeCell ref="A30:B30"/>
  </mergeCells>
  <conditionalFormatting sqref="E19:E28 E30">
    <cfRule type="cellIs" dxfId="6" priority="5" operator="equal">
      <formula>0</formula>
    </cfRule>
  </conditionalFormatting>
  <conditionalFormatting sqref="D3:E10">
    <cfRule type="cellIs" dxfId="5" priority="9" operator="equal">
      <formula>0</formula>
    </cfRule>
  </conditionalFormatting>
  <conditionalFormatting sqref="E12:E17">
    <cfRule type="cellIs" dxfId="4" priority="6" operator="equal">
      <formula>0</formula>
    </cfRule>
  </conditionalFormatting>
  <conditionalFormatting sqref="D12:D17">
    <cfRule type="cellIs" dxfId="3" priority="4" operator="equal">
      <formula>0</formula>
    </cfRule>
  </conditionalFormatting>
  <conditionalFormatting sqref="D19:D28 D30">
    <cfRule type="cellIs" dxfId="2" priority="3" operator="equal">
      <formula>0</formula>
    </cfRule>
  </conditionalFormatting>
  <conditionalFormatting sqref="D32">
    <cfRule type="cellIs" dxfId="1" priority="2" operator="equal">
      <formula>0</formula>
    </cfRule>
  </conditionalFormatting>
  <conditionalFormatting sqref="E32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&amp;L&amp;G&amp;CBudget mensuel personnel&amp;REvaluation préliminaire 
de la viabilité financière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Produits et services</vt:lpstr>
      <vt:lpstr>Finances</vt:lpstr>
      <vt:lpstr>Timing</vt:lpstr>
      <vt:lpstr>Tables</vt:lpstr>
      <vt:lpstr>Budget personnel</vt:lpstr>
      <vt:lpstr>OuiNon</vt:lpstr>
      <vt:lpstr>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Michaud</dc:creator>
  <cp:lastModifiedBy>Claude Michaud</cp:lastModifiedBy>
  <cp:lastPrinted>2023-03-17T11:00:13Z</cp:lastPrinted>
  <dcterms:created xsi:type="dcterms:W3CDTF">2013-08-05T06:04:36Z</dcterms:created>
  <dcterms:modified xsi:type="dcterms:W3CDTF">2023-04-02T09:25:46Z</dcterms:modified>
</cp:coreProperties>
</file>